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23924\Documents\Personal\ISA\Global P\ULVR\"/>
    </mc:Choice>
  </mc:AlternateContent>
  <bookViews>
    <workbookView xWindow="0" yWindow="0" windowWidth="15360" windowHeight="7656" firstSheet="2" activeTab="2"/>
  </bookViews>
  <sheets>
    <sheet name="Sheet1" sheetId="1" state="hidden" r:id="rId1"/>
    <sheet name="Valuation" sheetId="2" state="hidden" r:id="rId2"/>
    <sheet name="Valuation final" sheetId="5" r:id="rId3"/>
    <sheet name="only FCF" sheetId="4" state="hidden" r:id="rId4"/>
  </sheets>
  <definedNames>
    <definedName name="CIQWBGuid" hidden="1">"5eda54b4-8c52-46cd-9963-79cd1408b88c"</definedName>
    <definedName name="IQ_CH">110000</definedName>
    <definedName name="IQ_CQ">5000</definedName>
    <definedName name="IQ_CY">10000</definedName>
    <definedName name="IQ_DAILY">500000</definedName>
    <definedName name="IQ_DNTM" hidden="1">700000</definedName>
    <definedName name="IQ_EXPENSE_CODE_" hidden="1">"pwc"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MTD" hidden="1">800000</definedName>
    <definedName name="IQ_NAMES_REVISION_DATE_" hidden="1">43405.4291087963</definedName>
    <definedName name="IQ_NTM">6000</definedName>
    <definedName name="IQ_QTD" hidden="1">750000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2" l="1"/>
  <c r="D20" i="2"/>
  <c r="D7" i="4" l="1"/>
  <c r="E25" i="4"/>
  <c r="F25" i="4" s="1"/>
  <c r="G25" i="4" s="1"/>
  <c r="H25" i="4" s="1"/>
  <c r="I25" i="4" s="1"/>
  <c r="J25" i="4" s="1"/>
  <c r="K25" i="4" s="1"/>
  <c r="L25" i="4" s="1"/>
  <c r="M25" i="4" s="1"/>
  <c r="N25" i="4" s="1"/>
  <c r="D22" i="4"/>
  <c r="D14" i="4"/>
  <c r="C10" i="4"/>
  <c r="D6" i="4"/>
  <c r="D37" i="2"/>
  <c r="D36" i="2"/>
  <c r="D35" i="2"/>
  <c r="D28" i="2"/>
  <c r="D23" i="4"/>
  <c r="D15" i="4"/>
  <c r="D28" i="4" l="1"/>
  <c r="E28" i="4" s="1"/>
  <c r="D29" i="4"/>
  <c r="D29" i="2"/>
  <c r="D30" i="4" l="1"/>
  <c r="D31" i="4" s="1"/>
  <c r="E32" i="4"/>
  <c r="F28" i="4"/>
  <c r="E30" i="4"/>
  <c r="E31" i="4" s="1"/>
  <c r="E32" i="2"/>
  <c r="F32" i="2" s="1"/>
  <c r="G32" i="2" s="1"/>
  <c r="H32" i="2" s="1"/>
  <c r="I32" i="2" s="1"/>
  <c r="J32" i="2" s="1"/>
  <c r="K32" i="2" s="1"/>
  <c r="L32" i="2" s="1"/>
  <c r="M32" i="2" s="1"/>
  <c r="N32" i="2" s="1"/>
  <c r="D10" i="2"/>
  <c r="G28" i="4" l="1"/>
  <c r="F30" i="4"/>
  <c r="F31" i="4" s="1"/>
  <c r="E35" i="2"/>
  <c r="D18" i="2"/>
  <c r="D19" i="2" s="1"/>
  <c r="D8" i="2"/>
  <c r="C13" i="2"/>
  <c r="D38" i="2" l="1"/>
  <c r="D41" i="2" s="1"/>
  <c r="D40" i="2"/>
  <c r="E42" i="2" s="1"/>
  <c r="H28" i="4"/>
  <c r="G30" i="4"/>
  <c r="G31" i="4" s="1"/>
  <c r="D9" i="2"/>
  <c r="D39" i="2" s="1"/>
  <c r="F35" i="2"/>
  <c r="M30" i="1"/>
  <c r="L30" i="1"/>
  <c r="K30" i="1"/>
  <c r="J30" i="1"/>
  <c r="I30" i="1"/>
  <c r="H30" i="1"/>
  <c r="C29" i="1"/>
  <c r="M28" i="1"/>
  <c r="L28" i="1"/>
  <c r="K28" i="1"/>
  <c r="J28" i="1"/>
  <c r="I28" i="1"/>
  <c r="H28" i="1"/>
  <c r="G28" i="1"/>
  <c r="F28" i="1"/>
  <c r="E28" i="1"/>
  <c r="D28" i="1"/>
  <c r="C28" i="1"/>
  <c r="M27" i="1"/>
  <c r="I27" i="1"/>
  <c r="E27" i="1"/>
  <c r="F27" i="1"/>
  <c r="L27" i="1"/>
  <c r="H27" i="1"/>
  <c r="D27" i="1"/>
  <c r="K27" i="1"/>
  <c r="G27" i="1"/>
  <c r="J27" i="1"/>
  <c r="D42" i="2" l="1"/>
  <c r="I28" i="4"/>
  <c r="H30" i="4"/>
  <c r="H31" i="4" s="1"/>
  <c r="D43" i="2"/>
  <c r="E39" i="2"/>
  <c r="G35" i="2"/>
  <c r="F42" i="2"/>
  <c r="D44" i="2"/>
  <c r="D45" i="2" s="1"/>
  <c r="M29" i="1"/>
  <c r="L29" i="1"/>
  <c r="K29" i="1"/>
  <c r="J29" i="1"/>
  <c r="I29" i="1"/>
  <c r="H29" i="1"/>
  <c r="G29" i="1"/>
  <c r="F29" i="1"/>
  <c r="E29" i="1"/>
  <c r="D29" i="1"/>
  <c r="D16" i="1"/>
  <c r="H10" i="1"/>
  <c r="G10" i="1"/>
  <c r="F10" i="1"/>
  <c r="E10" i="1"/>
  <c r="D10" i="1"/>
  <c r="C10" i="1"/>
  <c r="F14" i="1"/>
  <c r="C27" i="1"/>
  <c r="F21" i="1"/>
  <c r="G21" i="1"/>
  <c r="H21" i="1"/>
  <c r="I21" i="1"/>
  <c r="J21" i="1"/>
  <c r="K21" i="1"/>
  <c r="L21" i="1"/>
  <c r="M21" i="1"/>
  <c r="N21" i="1" s="1"/>
  <c r="O21" i="1" s="1"/>
  <c r="P21" i="1" s="1"/>
  <c r="Q21" i="1" s="1"/>
  <c r="R21" i="1"/>
  <c r="S21" i="1" s="1"/>
  <c r="T21" i="1" s="1"/>
  <c r="U21" i="1" s="1"/>
  <c r="E21" i="1"/>
  <c r="J28" i="4" l="1"/>
  <c r="I30" i="4"/>
  <c r="I31" i="4" s="1"/>
  <c r="H35" i="2"/>
  <c r="G42" i="2"/>
  <c r="E38" i="2"/>
  <c r="E43" i="2"/>
  <c r="E44" i="2" s="1"/>
  <c r="E45" i="2" s="1"/>
  <c r="F39" i="2"/>
  <c r="D21" i="1"/>
  <c r="F15" i="1"/>
  <c r="E9" i="1"/>
  <c r="D9" i="1"/>
  <c r="C9" i="1"/>
  <c r="E7" i="1"/>
  <c r="F7" i="1" s="1"/>
  <c r="G7" i="1" s="1"/>
  <c r="H7" i="1" s="1"/>
  <c r="D7" i="1"/>
  <c r="K28" i="4" l="1"/>
  <c r="J30" i="4"/>
  <c r="J31" i="4" s="1"/>
  <c r="E41" i="2"/>
  <c r="F43" i="2"/>
  <c r="F44" i="2" s="1"/>
  <c r="F45" i="2" s="1"/>
  <c r="G39" i="2"/>
  <c r="F38" i="2"/>
  <c r="I35" i="2"/>
  <c r="H42" i="2"/>
  <c r="L28" i="4" l="1"/>
  <c r="K30" i="4"/>
  <c r="K31" i="4" s="1"/>
  <c r="F41" i="2"/>
  <c r="I42" i="2"/>
  <c r="J35" i="2"/>
  <c r="G43" i="2"/>
  <c r="G44" i="2" s="1"/>
  <c r="G45" i="2" s="1"/>
  <c r="H39" i="2"/>
  <c r="G38" i="2"/>
  <c r="M28" i="4" l="1"/>
  <c r="L30" i="4"/>
  <c r="L31" i="4" s="1"/>
  <c r="G41" i="2"/>
  <c r="K35" i="2"/>
  <c r="J42" i="2"/>
  <c r="H43" i="2"/>
  <c r="H44" i="2" s="1"/>
  <c r="H45" i="2" s="1"/>
  <c r="H38" i="2"/>
  <c r="I39" i="2"/>
  <c r="N28" i="4" l="1"/>
  <c r="N30" i="4" s="1"/>
  <c r="N31" i="4" s="1"/>
  <c r="M30" i="4"/>
  <c r="M31" i="4" s="1"/>
  <c r="H41" i="2"/>
  <c r="J39" i="2"/>
  <c r="I43" i="2"/>
  <c r="I44" i="2" s="1"/>
  <c r="I45" i="2" s="1"/>
  <c r="I38" i="2"/>
  <c r="K42" i="2"/>
  <c r="L35" i="2"/>
  <c r="I41" i="2" l="1"/>
  <c r="M35" i="2"/>
  <c r="L42" i="2"/>
  <c r="K39" i="2"/>
  <c r="J43" i="2"/>
  <c r="J44" i="2" s="1"/>
  <c r="J45" i="2" s="1"/>
  <c r="J38" i="2"/>
  <c r="J41" i="2" l="1"/>
  <c r="M42" i="2"/>
  <c r="N35" i="2"/>
  <c r="K43" i="2"/>
  <c r="K44" i="2" s="1"/>
  <c r="K45" i="2" s="1"/>
  <c r="L39" i="2"/>
  <c r="K38" i="2"/>
  <c r="K41" i="2" l="1"/>
  <c r="N42" i="2"/>
  <c r="M39" i="2"/>
  <c r="L43" i="2"/>
  <c r="L44" i="2" s="1"/>
  <c r="L45" i="2" s="1"/>
  <c r="L38" i="2"/>
  <c r="L41" i="2" l="1"/>
  <c r="M43" i="2"/>
  <c r="M44" i="2" s="1"/>
  <c r="M45" i="2" s="1"/>
  <c r="N39" i="2"/>
  <c r="M38" i="2"/>
  <c r="M41" i="2" l="1"/>
  <c r="N43" i="2"/>
  <c r="N44" i="2" s="1"/>
  <c r="N45" i="2" s="1"/>
  <c r="N38" i="2"/>
  <c r="N41" i="2" l="1"/>
</calcChain>
</file>

<file path=xl/sharedStrings.xml><?xml version="1.0" encoding="utf-8"?>
<sst xmlns="http://schemas.openxmlformats.org/spreadsheetml/2006/main" count="162" uniqueCount="53">
  <si>
    <t>Book value per share</t>
  </si>
  <si>
    <t>Exchange rate</t>
  </si>
  <si>
    <t>BV FL mn</t>
  </si>
  <si>
    <t>BV £mn</t>
  </si>
  <si>
    <t>Dividend FL mn</t>
  </si>
  <si>
    <t>Dividend £ mn</t>
  </si>
  <si>
    <t>Number of outstanding shares</t>
  </si>
  <si>
    <t>BV per share £</t>
  </si>
  <si>
    <t>BV/share</t>
  </si>
  <si>
    <t>DPS</t>
  </si>
  <si>
    <t>FY2007</t>
  </si>
  <si>
    <t>FY2008</t>
  </si>
  <si>
    <t>FY2009</t>
  </si>
  <si>
    <t>FY2010</t>
  </si>
  <si>
    <t>FY2011</t>
  </si>
  <si>
    <t>FY2012</t>
  </si>
  <si>
    <t>FY2013</t>
  </si>
  <si>
    <t>FY2014</t>
  </si>
  <si>
    <t>FY2015</t>
  </si>
  <si>
    <t>FY2016</t>
  </si>
  <si>
    <t>FY2017</t>
  </si>
  <si>
    <t>LSE:ULVR</t>
  </si>
  <si>
    <t>Unilever stake in HL</t>
  </si>
  <si>
    <t>Dividend</t>
  </si>
  <si>
    <t>OCF</t>
  </si>
  <si>
    <t>Capex</t>
  </si>
  <si>
    <t>FCF</t>
  </si>
  <si>
    <t>FCF ex Div</t>
  </si>
  <si>
    <t>Current market cap</t>
  </si>
  <si>
    <t>Total Unilever</t>
  </si>
  <si>
    <t>Unilever India</t>
  </si>
  <si>
    <t>Unilever ex India</t>
  </si>
  <si>
    <t>FY2018</t>
  </si>
  <si>
    <t>FY2019</t>
  </si>
  <si>
    <t>FY2020</t>
  </si>
  <si>
    <t>FY2021</t>
  </si>
  <si>
    <t>FY2022</t>
  </si>
  <si>
    <t>Div % FCF</t>
  </si>
  <si>
    <t>Div yield</t>
  </si>
  <si>
    <t>FCF ex Div yield</t>
  </si>
  <si>
    <t>Total yield</t>
  </si>
  <si>
    <t>FY2023</t>
  </si>
  <si>
    <t>FY2024</t>
  </si>
  <si>
    <t>FY2025</t>
  </si>
  <si>
    <t>FY2026</t>
  </si>
  <si>
    <t>FY2027</t>
  </si>
  <si>
    <t>Unilever Indonesia</t>
  </si>
  <si>
    <t>IDX:UNVR</t>
  </si>
  <si>
    <t>FCF yield</t>
  </si>
  <si>
    <t>Unilever Group</t>
  </si>
  <si>
    <t>Unilever ex India and Indonesia</t>
  </si>
  <si>
    <t>PFCF</t>
  </si>
  <si>
    <t>BSE:500696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</si>
</sst>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sz val="9"/>
      <color theme="1"/>
      <name val="Georgia"/>
      <family val="1"/>
      <scheme val="major"/>
    </font>
    <font>
      <b/>
      <sz val="9"/>
      <color theme="1"/>
      <name val="Georgia"/>
      <family val="1"/>
      <scheme val="major"/>
    </font>
    <font>
      <i/>
      <sz val="9"/>
      <color theme="1"/>
      <name val="Georgia"/>
      <family val="1"/>
      <scheme val="maj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1" fillId="0" borderId="0" xfId="0" applyNumberFormat="1" applyFont="1"/>
    <xf numFmtId="9" fontId="1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 indent="1"/>
    </xf>
    <xf numFmtId="0" fontId="1" fillId="0" borderId="0" xfId="0" applyFont="1" applyFill="1"/>
    <xf numFmtId="3" fontId="2" fillId="0" borderId="0" xfId="0" applyNumberFormat="1" applyFont="1" applyFill="1"/>
    <xf numFmtId="9" fontId="1" fillId="0" borderId="0" xfId="0" applyNumberFormat="1" applyFont="1" applyFill="1"/>
    <xf numFmtId="10" fontId="1" fillId="0" borderId="0" xfId="0" applyNumberFormat="1" applyFont="1"/>
    <xf numFmtId="3" fontId="1" fillId="0" borderId="0" xfId="0" applyNumberFormat="1" applyFont="1"/>
    <xf numFmtId="10" fontId="2" fillId="0" borderId="0" xfId="0" applyNumberFormat="1" applyFont="1"/>
    <xf numFmtId="2" fontId="1" fillId="0" borderId="0" xfId="0" applyNumberFormat="1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14" fontId="1" fillId="0" borderId="0" xfId="0" applyNumberFormat="1" applyFont="1" applyBorder="1"/>
    <xf numFmtId="0" fontId="1" fillId="0" borderId="5" xfId="0" applyFont="1" applyBorder="1"/>
    <xf numFmtId="0" fontId="2" fillId="0" borderId="4" xfId="0" applyFont="1" applyBorder="1"/>
    <xf numFmtId="3" fontId="2" fillId="0" borderId="0" xfId="0" applyNumberFormat="1" applyFont="1" applyFill="1" applyBorder="1"/>
    <xf numFmtId="3" fontId="1" fillId="0" borderId="0" xfId="0" applyNumberFormat="1" applyFont="1" applyBorder="1"/>
    <xf numFmtId="9" fontId="1" fillId="0" borderId="5" xfId="0" applyNumberFormat="1" applyFont="1" applyBorder="1"/>
    <xf numFmtId="0" fontId="1" fillId="0" borderId="4" xfId="0" applyFont="1" applyBorder="1" applyAlignment="1">
      <alignment horizontal="left" indent="1"/>
    </xf>
    <xf numFmtId="3" fontId="1" fillId="0" borderId="0" xfId="0" applyNumberFormat="1" applyFont="1" applyFill="1" applyBorder="1"/>
    <xf numFmtId="10" fontId="1" fillId="0" borderId="0" xfId="0" applyNumberFormat="1" applyFont="1" applyBorder="1"/>
    <xf numFmtId="0" fontId="1" fillId="0" borderId="0" xfId="0" applyFont="1" applyBorder="1"/>
    <xf numFmtId="3" fontId="2" fillId="0" borderId="0" xfId="0" applyNumberFormat="1" applyFont="1" applyBorder="1"/>
    <xf numFmtId="10" fontId="2" fillId="0" borderId="0" xfId="0" applyNumberFormat="1" applyFont="1" applyBorder="1"/>
    <xf numFmtId="0" fontId="2" fillId="0" borderId="5" xfId="0" applyFont="1" applyBorder="1"/>
    <xf numFmtId="0" fontId="1" fillId="0" borderId="8" xfId="0" applyFont="1" applyBorder="1"/>
    <xf numFmtId="14" fontId="1" fillId="0" borderId="5" xfId="0" applyNumberFormat="1" applyFont="1" applyBorder="1"/>
    <xf numFmtId="0" fontId="2" fillId="0" borderId="5" xfId="0" applyFont="1" applyFill="1" applyBorder="1"/>
    <xf numFmtId="0" fontId="1" fillId="0" borderId="5" xfId="0" applyFont="1" applyFill="1" applyBorder="1"/>
    <xf numFmtId="0" fontId="2" fillId="0" borderId="6" xfId="0" applyFont="1" applyBorder="1"/>
    <xf numFmtId="3" fontId="2" fillId="0" borderId="8" xfId="0" applyNumberFormat="1" applyFont="1" applyFill="1" applyBorder="1"/>
    <xf numFmtId="9" fontId="1" fillId="0" borderId="5" xfId="0" applyNumberFormat="1" applyFont="1" applyFill="1" applyBorder="1"/>
    <xf numFmtId="0" fontId="3" fillId="0" borderId="6" xfId="0" applyFont="1" applyBorder="1"/>
    <xf numFmtId="2" fontId="3" fillId="0" borderId="7" xfId="0" applyNumberFormat="1" applyFont="1" applyBorder="1"/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PwC">
  <a:themeElements>
    <a:clrScheme name="PwC Orange">
      <a:dk1>
        <a:srgbClr val="000000"/>
      </a:dk1>
      <a:lt1>
        <a:srgbClr val="FFFFFF"/>
      </a:lt1>
      <a:dk2>
        <a:srgbClr val="DC6900"/>
      </a:dk2>
      <a:lt2>
        <a:srgbClr val="FFFFFF"/>
      </a:lt2>
      <a:accent1>
        <a:srgbClr val="DC6900"/>
      </a:accent1>
      <a:accent2>
        <a:srgbClr val="FFB600"/>
      </a:accent2>
      <a:accent3>
        <a:srgbClr val="602320"/>
      </a:accent3>
      <a:accent4>
        <a:srgbClr val="E27588"/>
      </a:accent4>
      <a:accent5>
        <a:srgbClr val="A32020"/>
      </a:accent5>
      <a:accent6>
        <a:srgbClr val="E0301E"/>
      </a:accent6>
      <a:hlink>
        <a:srgbClr val="0000FF"/>
      </a:hlink>
      <a:folHlink>
        <a:srgbClr val="0000FF"/>
      </a:folHlink>
    </a:clrScheme>
    <a:fontScheme name="PwC">
      <a:majorFont>
        <a:latin typeface="Georgia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ltGray">
        <a:solidFill>
          <a:schemeClr val="tx2"/>
        </a:solidFill>
        <a:ln w="3175"/>
      </a:spPr>
      <a:bodyPr rtlCol="0" anchor="ctr"/>
      <a:lstStyle>
        <a:defPPr algn="ctr">
          <a:defRPr dirty="0" err="1" smtClean="0">
            <a:solidFill>
              <a:schemeClr val="bg1"/>
            </a:solidFill>
            <a:latin typeface="Georgia" pitchFamily="18" charset="0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lIns="0" tIns="0" rIns="0" bIns="0" rtlCol="0">
        <a:noAutofit/>
      </a:bodyPr>
      <a:lstStyle>
        <a:defPPr indent="-274320">
          <a:spcAft>
            <a:spcPts val="900"/>
          </a:spcAft>
          <a:defRPr sz="2000" dirty="0" err="1" smtClean="0">
            <a:latin typeface="Georgia" pitchFamily="18" charset="0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U30"/>
  <sheetViews>
    <sheetView showGridLines="0" workbookViewId="0">
      <selection activeCell="J30" sqref="J30"/>
    </sheetView>
  </sheetViews>
  <sheetFormatPr defaultColWidth="8.69921875" defaultRowHeight="11.4" x14ac:dyDescent="0.2"/>
  <cols>
    <col min="1" max="1" width="8.69921875" style="1"/>
    <col min="2" max="2" width="15.59765625" style="1" customWidth="1"/>
    <col min="3" max="16384" width="8.69921875" style="1"/>
  </cols>
  <sheetData>
    <row r="5" spans="2:8" x14ac:dyDescent="0.2">
      <c r="C5" s="1" t="s">
        <v>0</v>
      </c>
    </row>
    <row r="6" spans="2:8" x14ac:dyDescent="0.2">
      <c r="F6" s="2">
        <v>33238</v>
      </c>
    </row>
    <row r="7" spans="2:8" x14ac:dyDescent="0.2">
      <c r="C7" s="1">
        <v>1967</v>
      </c>
      <c r="D7" s="1">
        <f>C7+10</f>
        <v>1977</v>
      </c>
      <c r="E7" s="1">
        <f t="shared" ref="E7:H7" si="0">D7+10</f>
        <v>1987</v>
      </c>
      <c r="F7" s="1">
        <f t="shared" si="0"/>
        <v>1997</v>
      </c>
      <c r="G7" s="1">
        <f t="shared" si="0"/>
        <v>2007</v>
      </c>
      <c r="H7" s="1">
        <f t="shared" si="0"/>
        <v>2017</v>
      </c>
    </row>
    <row r="8" spans="2:8" x14ac:dyDescent="0.2">
      <c r="B8" s="1" t="s">
        <v>2</v>
      </c>
      <c r="C8" s="1">
        <v>5919</v>
      </c>
      <c r="D8" s="1">
        <v>8142</v>
      </c>
      <c r="E8" s="1">
        <v>10145</v>
      </c>
      <c r="F8" s="1">
        <v>24734</v>
      </c>
    </row>
    <row r="9" spans="2:8" x14ac:dyDescent="0.2">
      <c r="B9" s="1" t="s">
        <v>3</v>
      </c>
      <c r="C9" s="1">
        <f>C8/C14</f>
        <v>681.28453038674024</v>
      </c>
      <c r="D9" s="1">
        <f>D8/D14</f>
        <v>678.5</v>
      </c>
      <c r="E9" s="1">
        <f>E8/E14</f>
        <v>845.41666666666663</v>
      </c>
      <c r="F9" s="1">
        <v>7416</v>
      </c>
      <c r="G9" s="1">
        <v>9418.7999999999993</v>
      </c>
      <c r="H9" s="1">
        <v>12781.2</v>
      </c>
    </row>
    <row r="10" spans="2:8" x14ac:dyDescent="0.2">
      <c r="B10" s="1" t="s">
        <v>7</v>
      </c>
      <c r="C10" s="1">
        <f>C9/C13</f>
        <v>0.57540923174555769</v>
      </c>
      <c r="D10" s="1">
        <f t="shared" ref="D10:H10" si="1">D9/D13</f>
        <v>0.57064760302775441</v>
      </c>
      <c r="E10" s="1">
        <f t="shared" si="1"/>
        <v>0.60559933142311362</v>
      </c>
      <c r="F10" s="1" t="e">
        <f t="shared" si="1"/>
        <v>#DIV/0!</v>
      </c>
      <c r="G10" s="1" t="e">
        <f t="shared" si="1"/>
        <v>#DIV/0!</v>
      </c>
      <c r="H10" s="1" t="e">
        <f t="shared" si="1"/>
        <v>#DIV/0!</v>
      </c>
    </row>
    <row r="11" spans="2:8" x14ac:dyDescent="0.2">
      <c r="B11" s="1" t="s">
        <v>4</v>
      </c>
    </row>
    <row r="12" spans="2:8" x14ac:dyDescent="0.2">
      <c r="B12" s="1" t="s">
        <v>5</v>
      </c>
    </row>
    <row r="13" spans="2:8" x14ac:dyDescent="0.2">
      <c r="B13" s="1" t="s">
        <v>6</v>
      </c>
      <c r="C13" s="1">
        <v>1184</v>
      </c>
      <c r="D13" s="1">
        <v>1189</v>
      </c>
      <c r="E13" s="1">
        <v>1396</v>
      </c>
    </row>
    <row r="14" spans="2:8" x14ac:dyDescent="0.2">
      <c r="B14" s="1" t="s">
        <v>1</v>
      </c>
      <c r="C14" s="1">
        <v>8.6880000000000006</v>
      </c>
      <c r="D14" s="1">
        <v>12</v>
      </c>
      <c r="E14" s="1">
        <v>12</v>
      </c>
      <c r="F14" s="1">
        <f>F8/F9</f>
        <v>3.3352211434735706</v>
      </c>
    </row>
    <row r="15" spans="2:8" x14ac:dyDescent="0.2">
      <c r="F15" s="1" t="str">
        <f>"$ANGGBP"</f>
        <v>$ANGGBP</v>
      </c>
    </row>
    <row r="16" spans="2:8" x14ac:dyDescent="0.2">
      <c r="D16" s="1">
        <f>3605/12.86</f>
        <v>280.32659409020221</v>
      </c>
    </row>
    <row r="20" spans="2:21" x14ac:dyDescent="0.2">
      <c r="E20" s="2">
        <v>29586</v>
      </c>
      <c r="F20" s="2">
        <v>29951</v>
      </c>
      <c r="G20" s="2">
        <v>30316</v>
      </c>
      <c r="H20" s="2">
        <v>30681</v>
      </c>
      <c r="I20" s="2">
        <v>31047</v>
      </c>
      <c r="J20" s="2">
        <v>31412</v>
      </c>
      <c r="K20" s="2">
        <v>31777</v>
      </c>
      <c r="L20" s="2">
        <v>32142</v>
      </c>
      <c r="M20" s="2">
        <v>32508</v>
      </c>
      <c r="N20" s="2">
        <v>32873</v>
      </c>
      <c r="O20" s="2">
        <v>33238</v>
      </c>
      <c r="P20" s="2">
        <v>33603</v>
      </c>
      <c r="Q20" s="2">
        <v>33969</v>
      </c>
      <c r="R20" s="2">
        <v>34334</v>
      </c>
      <c r="S20" s="2">
        <v>34699</v>
      </c>
      <c r="T20" s="2">
        <v>35064</v>
      </c>
      <c r="U20" s="2">
        <v>35430</v>
      </c>
    </row>
    <row r="21" spans="2:21" x14ac:dyDescent="0.2">
      <c r="D21" s="1" t="str">
        <f>"$ANGGBP"</f>
        <v>$ANGGBP</v>
      </c>
      <c r="E21" s="1">
        <f>_xll.ciqfunctions.udf.CIQ(D21, "IQ_LASTSALEPRICE", $E$20)</f>
        <v>0</v>
      </c>
      <c r="F21" s="1">
        <f>_xll.ciqfunctions.udf.CIQ(E21, "IQ_LASTSALEPRICE", $E$20)</f>
        <v>0</v>
      </c>
      <c r="G21" s="1">
        <f>_xll.ciqfunctions.udf.CIQ(F21, "IQ_LASTSALEPRICE", $E$20)</f>
        <v>0</v>
      </c>
      <c r="H21" s="1">
        <f>_xll.ciqfunctions.udf.CIQ(G21, "IQ_LASTSALEPRICE", $E$20)</f>
        <v>0</v>
      </c>
      <c r="I21" s="1">
        <f>_xll.ciqfunctions.udf.CIQ(H21, "IQ_LASTSALEPRICE", $E$20)</f>
        <v>0</v>
      </c>
      <c r="J21" s="1">
        <f>_xll.ciqfunctions.udf.CIQ(I21, "IQ_LASTSALEPRICE", $E$20)</f>
        <v>0</v>
      </c>
      <c r="K21" s="1">
        <f>_xll.ciqfunctions.udf.CIQ(J21, "IQ_LASTSALEPRICE", $E$20)</f>
        <v>0</v>
      </c>
      <c r="L21" s="1">
        <f>_xll.ciqfunctions.udf.CIQ(K21, "IQ_LASTSALEPRICE", $E$20)</f>
        <v>0</v>
      </c>
      <c r="M21" s="1">
        <f>_xll.ciqfunctions.udf.CIQ(L21, "IQ_LASTSALEPRICE", $E$20)</f>
        <v>0</v>
      </c>
      <c r="N21" s="1">
        <f>_xll.ciqfunctions.udf.CIQ(M21, "IQ_LASTSALEPRICE", $E$20)</f>
        <v>0</v>
      </c>
      <c r="O21" s="1">
        <f>_xll.ciqfunctions.udf.CIQ(N21, "IQ_LASTSALEPRICE", $E$20)</f>
        <v>0</v>
      </c>
      <c r="P21" s="1">
        <f>_xll.ciqfunctions.udf.CIQ(O21, "IQ_LASTSALEPRICE", $E$20)</f>
        <v>0</v>
      </c>
      <c r="Q21" s="1">
        <f>_xll.ciqfunctions.udf.CIQ(P21, "IQ_LASTSALEPRICE", $E$20)</f>
        <v>0</v>
      </c>
      <c r="R21" s="1">
        <f>_xll.ciqfunctions.udf.CIQ(Q21, "IQ_LASTSALEPRICE", $E$20)</f>
        <v>0</v>
      </c>
      <c r="S21" s="1">
        <f>_xll.ciqfunctions.udf.CIQ(R21, "IQ_LASTSALEPRICE", $E$20)</f>
        <v>0</v>
      </c>
      <c r="T21" s="1">
        <f>_xll.ciqfunctions.udf.CIQ(S21, "IQ_LASTSALEPRICE", $E$20)</f>
        <v>0</v>
      </c>
      <c r="U21" s="1">
        <f>_xll.ciqfunctions.udf.CIQ(T21, "IQ_LASTSALEPRICE", $E$20)</f>
        <v>0</v>
      </c>
    </row>
    <row r="26" spans="2:21" x14ac:dyDescent="0.2">
      <c r="B26" s="1" t="s">
        <v>21</v>
      </c>
      <c r="C26" s="1" t="s">
        <v>10</v>
      </c>
      <c r="D26" s="1" t="s">
        <v>11</v>
      </c>
      <c r="E26" s="1" t="s">
        <v>12</v>
      </c>
      <c r="F26" s="1" t="s">
        <v>13</v>
      </c>
      <c r="G26" s="1" t="s">
        <v>14</v>
      </c>
      <c r="H26" s="1" t="s">
        <v>15</v>
      </c>
      <c r="I26" s="1" t="s">
        <v>16</v>
      </c>
      <c r="J26" s="1" t="s">
        <v>17</v>
      </c>
      <c r="K26" s="1" t="s">
        <v>18</v>
      </c>
      <c r="L26" s="1" t="s">
        <v>19</v>
      </c>
      <c r="M26" s="1" t="s">
        <v>20</v>
      </c>
    </row>
    <row r="27" spans="2:21" x14ac:dyDescent="0.2">
      <c r="B27" s="1" t="s">
        <v>8</v>
      </c>
      <c r="C27" s="1">
        <f>_xll.ciqfunctions.udf.CIQ($B$26,"IQ_BV_SHARE",C26)</f>
        <v>4.3416600000000001</v>
      </c>
      <c r="D27" s="1">
        <f>_xll.ciqfunctions.udf.CIQ($B$26,"IQ_BV_SHARE",D26)</f>
        <v>3.56677</v>
      </c>
      <c r="E27" s="1">
        <f>_xll.ciqfunctions.udf.CIQ($B$26,"IQ_BV_SHARE",E26)</f>
        <v>4.3025399999999996</v>
      </c>
      <c r="F27" s="1">
        <f>_xll.ciqfunctions.udf.CIQ($B$26,"IQ_BV_SHARE",F26)</f>
        <v>5.1552499999999997</v>
      </c>
      <c r="G27" s="1">
        <f>_xll.ciqfunctions.udf.CIQ($B$26,"IQ_BV_SHARE",G26)</f>
        <v>5.06778</v>
      </c>
      <c r="H27" s="1">
        <f>_xll.ciqfunctions.udf.CIQ($B$26,"IQ_BV_SHARE",H26)</f>
        <v>5.4354300000000002</v>
      </c>
      <c r="I27" s="1">
        <f>_xll.ciqfunctions.udf.CIQ($B$26,"IQ_BV_SHARE",I26)</f>
        <v>5.0506900000000003</v>
      </c>
      <c r="J27" s="1">
        <f>_xll.ciqfunctions.udf.CIQ($B$26,"IQ_BV_SHARE",J26)</f>
        <v>4.8121999999999998</v>
      </c>
      <c r="K27" s="1">
        <f>_xll.ciqfunctions.udf.CIQ($B$26,"IQ_BV_SHARE",K26)</f>
        <v>5.4384600000000001</v>
      </c>
      <c r="L27" s="1">
        <f>_xll.ciqfunctions.udf.CIQ($B$26,"IQ_BV_SHARE",L26)</f>
        <v>5.75908</v>
      </c>
      <c r="M27" s="1">
        <f>_xll.ciqfunctions.udf.CIQ($B$26,"IQ_BV_SHARE",M26)</f>
        <v>4.9760900000000001</v>
      </c>
    </row>
    <row r="28" spans="2:21" x14ac:dyDescent="0.2">
      <c r="B28" s="1" t="s">
        <v>9</v>
      </c>
      <c r="C28" s="1">
        <f>_xll.ciqfunctions.udf.CIQ($B$26,"IQ_DIV_SHARE",C26)</f>
        <v>0.69560999999999995</v>
      </c>
      <c r="D28" s="1">
        <f>_xll.ciqfunctions.udf.CIQ($B$26,"IQ_DIV_SHARE",D26)</f>
        <v>0.63332999999999995</v>
      </c>
      <c r="E28" s="1">
        <f>_xll.ciqfunctions.udf.CIQ($B$26,"IQ_DIV_SHARE",E26)</f>
        <v>0.46505000000000002</v>
      </c>
      <c r="F28" s="1">
        <f>_xll.ciqfunctions.udf.CIQ($B$26,"IQ_DIV_SHARE",F26)</f>
        <v>0.82952999999999999</v>
      </c>
      <c r="G28" s="1">
        <f>_xll.ciqfunctions.udf.CIQ($B$26,"IQ_DIV_SHARE",G26)</f>
        <v>0.92988000000000004</v>
      </c>
      <c r="H28" s="1">
        <f>_xll.ciqfunctions.udf.CIQ($B$26,"IQ_DIV_SHARE",H26)</f>
        <v>0.97252000000000005</v>
      </c>
      <c r="I28" s="1">
        <f>_xll.ciqfunctions.udf.CIQ($B$26,"IQ_DIV_SHARE",I26)</f>
        <v>1.09659</v>
      </c>
      <c r="J28" s="1">
        <f>_xll.ciqfunctions.udf.CIQ($B$26,"IQ_DIV_SHARE",J26)</f>
        <v>1.1613599999999999</v>
      </c>
      <c r="K28" s="1">
        <f>_xll.ciqfunctions.udf.CIQ($B$26,"IQ_DIV_SHARE",K26)</f>
        <v>1.1949000000000001</v>
      </c>
      <c r="L28" s="1">
        <f>_xll.ciqfunctions.udf.CIQ($B$26,"IQ_DIV_SHARE",L26)</f>
        <v>1.2907900000000001</v>
      </c>
      <c r="M28" s="1">
        <f>_xll.ciqfunctions.udf.CIQ($B$26,"IQ_DIV_SHARE",M26)</f>
        <v>1.41357</v>
      </c>
    </row>
    <row r="29" spans="2:21" x14ac:dyDescent="0.2">
      <c r="C29" s="1">
        <f>C27+C28</f>
        <v>5.0372700000000004</v>
      </c>
      <c r="D29" s="1">
        <f t="shared" ref="D29:M29" si="2">D27+D28</f>
        <v>4.2000999999999999</v>
      </c>
      <c r="E29" s="1">
        <f t="shared" si="2"/>
        <v>4.7675899999999993</v>
      </c>
      <c r="F29" s="1">
        <f t="shared" si="2"/>
        <v>5.9847799999999998</v>
      </c>
      <c r="G29" s="1">
        <f t="shared" si="2"/>
        <v>5.9976599999999998</v>
      </c>
      <c r="H29" s="1">
        <f t="shared" si="2"/>
        <v>6.4079500000000005</v>
      </c>
      <c r="I29" s="1">
        <f t="shared" si="2"/>
        <v>6.1472800000000003</v>
      </c>
      <c r="J29" s="1">
        <f t="shared" si="2"/>
        <v>5.97356</v>
      </c>
      <c r="K29" s="1">
        <f t="shared" si="2"/>
        <v>6.6333599999999997</v>
      </c>
      <c r="L29" s="1">
        <f t="shared" si="2"/>
        <v>7.0498700000000003</v>
      </c>
      <c r="M29" s="1">
        <f t="shared" si="2"/>
        <v>6.3896600000000001</v>
      </c>
    </row>
    <row r="30" spans="2:21" x14ac:dyDescent="0.2">
      <c r="H30" s="3">
        <f>RATE(5,0,-C28,H28)</f>
        <v>6.9317181324608498E-2</v>
      </c>
      <c r="I30" s="3">
        <f t="shared" ref="I30:M30" si="3">RATE(5,0,-D28,I28)</f>
        <v>0.11604792446268916</v>
      </c>
      <c r="J30" s="3">
        <f t="shared" si="3"/>
        <v>0.20086294224899545</v>
      </c>
      <c r="K30" s="3">
        <f t="shared" si="3"/>
        <v>7.5721609144299526E-2</v>
      </c>
      <c r="L30" s="3">
        <f t="shared" si="3"/>
        <v>6.7789723975908406E-2</v>
      </c>
      <c r="M30" s="3">
        <f t="shared" si="3"/>
        <v>7.7664943949448326E-2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45"/>
  <sheetViews>
    <sheetView showGridLines="0" topLeftCell="A3" workbookViewId="0">
      <selection activeCell="E38" sqref="A1:XFD1048576"/>
    </sheetView>
  </sheetViews>
  <sheetFormatPr defaultColWidth="8.69921875" defaultRowHeight="11.4" x14ac:dyDescent="0.2"/>
  <cols>
    <col min="1" max="2" width="8.69921875" style="1"/>
    <col min="3" max="3" width="16.19921875" style="1" bestFit="1" customWidth="1"/>
    <col min="4" max="5" width="9.69921875" style="1" bestFit="1" customWidth="1"/>
    <col min="6" max="7" width="8.69921875" style="1"/>
    <col min="8" max="8" width="22.69921875" style="1" bestFit="1" customWidth="1"/>
    <col min="9" max="16384" width="8.69921875" style="1"/>
  </cols>
  <sheetData>
    <row r="3" spans="3:9" x14ac:dyDescent="0.2">
      <c r="C3" s="13" t="s">
        <v>49</v>
      </c>
      <c r="D3" s="15" t="s">
        <v>20</v>
      </c>
    </row>
    <row r="4" spans="3:9" x14ac:dyDescent="0.2">
      <c r="C4" s="16" t="s">
        <v>21</v>
      </c>
      <c r="D4" s="31">
        <v>43100</v>
      </c>
    </row>
    <row r="5" spans="3:9" s="4" customFormat="1" x14ac:dyDescent="0.2">
      <c r="C5" s="19" t="s">
        <v>23</v>
      </c>
      <c r="D5" s="32">
        <v>3478.9</v>
      </c>
    </row>
    <row r="6" spans="3:9" x14ac:dyDescent="0.2">
      <c r="C6" s="23" t="s">
        <v>24</v>
      </c>
      <c r="D6" s="33">
        <v>6478.1</v>
      </c>
    </row>
    <row r="7" spans="3:9" x14ac:dyDescent="0.2">
      <c r="C7" s="23" t="s">
        <v>25</v>
      </c>
      <c r="D7" s="33">
        <v>-1440.1</v>
      </c>
    </row>
    <row r="8" spans="3:9" x14ac:dyDescent="0.2">
      <c r="C8" s="16" t="s">
        <v>26</v>
      </c>
      <c r="D8" s="18">
        <f>SUM(D6:D7)</f>
        <v>5038</v>
      </c>
    </row>
    <row r="9" spans="3:9" s="4" customFormat="1" x14ac:dyDescent="0.2">
      <c r="C9" s="19" t="s">
        <v>27</v>
      </c>
      <c r="D9" s="29">
        <f>D8-D5</f>
        <v>1559.1</v>
      </c>
      <c r="H9" s="1"/>
      <c r="I9" s="1"/>
    </row>
    <row r="10" spans="3:9" s="4" customFormat="1" x14ac:dyDescent="0.2">
      <c r="C10" s="34" t="s">
        <v>28</v>
      </c>
      <c r="D10" s="35">
        <f>_xll.ciqfunctions.udf.CIQ(C4, "IQ_MARKETCAP", , "GBP")</f>
        <v>103744.72957</v>
      </c>
      <c r="H10" s="1"/>
      <c r="I10" s="1"/>
    </row>
    <row r="12" spans="3:9" x14ac:dyDescent="0.2">
      <c r="C12" s="13" t="s">
        <v>30</v>
      </c>
      <c r="D12" s="15" t="s">
        <v>20</v>
      </c>
    </row>
    <row r="13" spans="3:9" x14ac:dyDescent="0.2">
      <c r="C13" s="16" t="str">
        <f>"BSE:500696"</f>
        <v>BSE:500696</v>
      </c>
      <c r="D13" s="31">
        <v>43100</v>
      </c>
    </row>
    <row r="14" spans="3:9" x14ac:dyDescent="0.2">
      <c r="C14" s="16" t="s">
        <v>22</v>
      </c>
      <c r="D14" s="36">
        <v>0.67</v>
      </c>
    </row>
    <row r="15" spans="3:9" s="4" customFormat="1" x14ac:dyDescent="0.2">
      <c r="C15" s="19" t="s">
        <v>23</v>
      </c>
      <c r="D15" s="32">
        <v>440.2</v>
      </c>
    </row>
    <row r="16" spans="3:9" x14ac:dyDescent="0.2">
      <c r="C16" s="23" t="s">
        <v>24</v>
      </c>
      <c r="D16" s="33">
        <v>639</v>
      </c>
    </row>
    <row r="17" spans="3:15" x14ac:dyDescent="0.2">
      <c r="C17" s="23" t="s">
        <v>25</v>
      </c>
      <c r="D17" s="33">
        <v>-137.19999999999999</v>
      </c>
    </row>
    <row r="18" spans="3:15" x14ac:dyDescent="0.2">
      <c r="C18" s="16" t="s">
        <v>26</v>
      </c>
      <c r="D18" s="18">
        <f>SUM(D16:D17)</f>
        <v>501.8</v>
      </c>
    </row>
    <row r="19" spans="3:15" s="4" customFormat="1" x14ac:dyDescent="0.2">
      <c r="C19" s="19" t="s">
        <v>27</v>
      </c>
      <c r="D19" s="29">
        <f>D18-D15</f>
        <v>61.600000000000023</v>
      </c>
    </row>
    <row r="20" spans="3:15" x14ac:dyDescent="0.2">
      <c r="C20" s="34" t="s">
        <v>28</v>
      </c>
      <c r="D20" s="35">
        <f>_xll.ciqfunctions.udf.CIQ(C13, "IQ_MARKETCAP", , "GBP")</f>
        <v>31061.112969999998</v>
      </c>
      <c r="G20" s="9"/>
    </row>
    <row r="21" spans="3:15" x14ac:dyDescent="0.2">
      <c r="C21" s="4"/>
      <c r="D21" s="7"/>
    </row>
    <row r="22" spans="3:15" x14ac:dyDescent="0.2">
      <c r="C22" s="13" t="s">
        <v>46</v>
      </c>
      <c r="D22" s="15" t="s">
        <v>20</v>
      </c>
    </row>
    <row r="23" spans="3:15" x14ac:dyDescent="0.2">
      <c r="C23" s="16" t="s">
        <v>47</v>
      </c>
      <c r="D23" s="31">
        <v>43100</v>
      </c>
    </row>
    <row r="24" spans="3:15" x14ac:dyDescent="0.2">
      <c r="C24" s="16" t="s">
        <v>22</v>
      </c>
      <c r="D24" s="36">
        <v>0.84989999999999999</v>
      </c>
    </row>
    <row r="25" spans="3:15" x14ac:dyDescent="0.2">
      <c r="C25" s="19" t="s">
        <v>23</v>
      </c>
      <c r="D25" s="32">
        <v>354.4</v>
      </c>
    </row>
    <row r="26" spans="3:15" x14ac:dyDescent="0.2">
      <c r="C26" s="23" t="s">
        <v>24</v>
      </c>
      <c r="D26" s="33">
        <v>385.3</v>
      </c>
    </row>
    <row r="27" spans="3:15" x14ac:dyDescent="0.2">
      <c r="C27" s="23" t="s">
        <v>25</v>
      </c>
      <c r="D27" s="33">
        <v>-87.7</v>
      </c>
    </row>
    <row r="28" spans="3:15" x14ac:dyDescent="0.2">
      <c r="C28" s="16" t="s">
        <v>26</v>
      </c>
      <c r="D28" s="18">
        <f>SUM(D26:D27)</f>
        <v>297.60000000000002</v>
      </c>
    </row>
    <row r="29" spans="3:15" x14ac:dyDescent="0.2">
      <c r="C29" s="19" t="s">
        <v>27</v>
      </c>
      <c r="D29" s="29">
        <f>D28-D25</f>
        <v>-56.799999999999955</v>
      </c>
    </row>
    <row r="30" spans="3:15" x14ac:dyDescent="0.2">
      <c r="C30" s="34" t="s">
        <v>28</v>
      </c>
      <c r="D30" s="35">
        <f>_xll.ciqfunctions.udf.CIQ(C23, "IQ_MARKETCAP", , "GBP")</f>
        <v>20453.57619</v>
      </c>
      <c r="L30" s="9"/>
    </row>
    <row r="31" spans="3:15" x14ac:dyDescent="0.2">
      <c r="C31" s="4"/>
      <c r="D31" s="7"/>
    </row>
    <row r="32" spans="3:15" x14ac:dyDescent="0.2">
      <c r="C32" s="13"/>
      <c r="D32" s="14">
        <v>0</v>
      </c>
      <c r="E32" s="14">
        <f>D32+1</f>
        <v>1</v>
      </c>
      <c r="F32" s="14">
        <f t="shared" ref="F32:N32" si="0">E32+1</f>
        <v>2</v>
      </c>
      <c r="G32" s="14">
        <f t="shared" si="0"/>
        <v>3</v>
      </c>
      <c r="H32" s="14">
        <f t="shared" si="0"/>
        <v>4</v>
      </c>
      <c r="I32" s="14">
        <f t="shared" si="0"/>
        <v>5</v>
      </c>
      <c r="J32" s="14">
        <f t="shared" si="0"/>
        <v>6</v>
      </c>
      <c r="K32" s="14">
        <f t="shared" si="0"/>
        <v>7</v>
      </c>
      <c r="L32" s="14">
        <f t="shared" si="0"/>
        <v>8</v>
      </c>
      <c r="M32" s="14">
        <f t="shared" si="0"/>
        <v>9</v>
      </c>
      <c r="N32" s="14">
        <f t="shared" si="0"/>
        <v>10</v>
      </c>
      <c r="O32" s="15"/>
    </row>
    <row r="33" spans="1:15" ht="22.8" x14ac:dyDescent="0.2">
      <c r="C33" s="39" t="s">
        <v>50</v>
      </c>
      <c r="D33" s="26" t="s">
        <v>20</v>
      </c>
      <c r="E33" s="26" t="s">
        <v>32</v>
      </c>
      <c r="F33" s="26" t="s">
        <v>33</v>
      </c>
      <c r="G33" s="26" t="s">
        <v>34</v>
      </c>
      <c r="H33" s="26" t="s">
        <v>35</v>
      </c>
      <c r="I33" s="26" t="s">
        <v>36</v>
      </c>
      <c r="J33" s="26" t="s">
        <v>41</v>
      </c>
      <c r="K33" s="26" t="s">
        <v>42</v>
      </c>
      <c r="L33" s="26" t="s">
        <v>43</v>
      </c>
      <c r="M33" s="26" t="s">
        <v>44</v>
      </c>
      <c r="N33" s="26" t="s">
        <v>45</v>
      </c>
      <c r="O33" s="18"/>
    </row>
    <row r="34" spans="1:15" x14ac:dyDescent="0.2">
      <c r="C34" s="16"/>
      <c r="D34" s="17">
        <v>43100</v>
      </c>
      <c r="E34" s="17">
        <v>43465</v>
      </c>
      <c r="F34" s="17">
        <v>43830</v>
      </c>
      <c r="G34" s="17">
        <v>44196</v>
      </c>
      <c r="H34" s="17">
        <v>44561</v>
      </c>
      <c r="I34" s="17">
        <v>44926</v>
      </c>
      <c r="J34" s="17">
        <v>45291</v>
      </c>
      <c r="K34" s="17">
        <v>45657</v>
      </c>
      <c r="L34" s="17">
        <v>46022</v>
      </c>
      <c r="M34" s="17">
        <v>46387</v>
      </c>
      <c r="N34" s="17">
        <v>46752</v>
      </c>
      <c r="O34" s="18"/>
    </row>
    <row r="35" spans="1:15" x14ac:dyDescent="0.2">
      <c r="C35" s="19" t="s">
        <v>23</v>
      </c>
      <c r="D35" s="20">
        <f>D5-D15*$D$14-D25*D24</f>
        <v>2882.7614399999998</v>
      </c>
      <c r="E35" s="21">
        <f t="shared" ref="E35:N35" si="1">D35*(1+$O$35)</f>
        <v>3113.3823551999999</v>
      </c>
      <c r="F35" s="21">
        <f t="shared" si="1"/>
        <v>3362.4529436160001</v>
      </c>
      <c r="G35" s="21">
        <f t="shared" si="1"/>
        <v>3631.4491791052801</v>
      </c>
      <c r="H35" s="21">
        <f t="shared" si="1"/>
        <v>3921.9651134337028</v>
      </c>
      <c r="I35" s="21">
        <f t="shared" si="1"/>
        <v>4235.722322508399</v>
      </c>
      <c r="J35" s="21">
        <f t="shared" si="1"/>
        <v>4574.580108309071</v>
      </c>
      <c r="K35" s="21">
        <f t="shared" si="1"/>
        <v>4940.5465169737972</v>
      </c>
      <c r="L35" s="21">
        <f t="shared" si="1"/>
        <v>5335.7902383317014</v>
      </c>
      <c r="M35" s="21">
        <f t="shared" si="1"/>
        <v>5762.6534573982381</v>
      </c>
      <c r="N35" s="21">
        <f t="shared" si="1"/>
        <v>6223.6657339900976</v>
      </c>
      <c r="O35" s="22">
        <v>0.08</v>
      </c>
    </row>
    <row r="36" spans="1:15" x14ac:dyDescent="0.2">
      <c r="C36" s="23" t="s">
        <v>24</v>
      </c>
      <c r="D36" s="24">
        <f>D6-D16*$D$14-D26*$D$24</f>
        <v>5722.50353</v>
      </c>
      <c r="E36" s="25"/>
      <c r="F36" s="26"/>
      <c r="G36" s="25"/>
      <c r="H36" s="21"/>
      <c r="I36" s="26"/>
      <c r="J36" s="26"/>
      <c r="K36" s="26"/>
      <c r="L36" s="26"/>
      <c r="M36" s="26"/>
      <c r="N36" s="26"/>
      <c r="O36" s="18"/>
    </row>
    <row r="37" spans="1:15" x14ac:dyDescent="0.2">
      <c r="C37" s="23" t="s">
        <v>25</v>
      </c>
      <c r="D37" s="24">
        <f>D7-D17*$D$14-D27*$D$24</f>
        <v>-1273.63977</v>
      </c>
      <c r="E37" s="25"/>
      <c r="F37" s="26"/>
      <c r="G37" s="25"/>
      <c r="H37" s="21"/>
      <c r="I37" s="26"/>
      <c r="J37" s="26"/>
      <c r="K37" s="26"/>
      <c r="L37" s="26"/>
      <c r="M37" s="26"/>
      <c r="N37" s="26"/>
      <c r="O37" s="18"/>
    </row>
    <row r="38" spans="1:15" x14ac:dyDescent="0.2">
      <c r="C38" s="16" t="s">
        <v>26</v>
      </c>
      <c r="D38" s="21">
        <f>D8-D18*$D$14-D28*$D$24</f>
        <v>4448.8637600000002</v>
      </c>
      <c r="E38" s="21">
        <f>E35+E39</f>
        <v>4742.1287679999996</v>
      </c>
      <c r="F38" s="21">
        <f t="shared" ref="F38:I38" si="2">F35+F39</f>
        <v>5056.3492129280003</v>
      </c>
      <c r="G38" s="21">
        <f t="shared" si="2"/>
        <v>5393.1012991897605</v>
      </c>
      <c r="H38" s="21">
        <f t="shared" si="2"/>
        <v>5754.0833183215618</v>
      </c>
      <c r="I38" s="21">
        <f t="shared" si="2"/>
        <v>6141.1252555917727</v>
      </c>
      <c r="J38" s="21">
        <f t="shared" ref="J38" si="3">J35+J39</f>
        <v>6556.19915871578</v>
      </c>
      <c r="K38" s="21">
        <f t="shared" ref="K38" si="4">K35+K39</f>
        <v>7001.4303293967751</v>
      </c>
      <c r="L38" s="21">
        <f t="shared" ref="L38" si="5">L35+L39</f>
        <v>7479.1094032515975</v>
      </c>
      <c r="M38" s="21">
        <f t="shared" ref="M38" si="6">M35+M39</f>
        <v>7991.7053889149302</v>
      </c>
      <c r="N38" s="21">
        <f t="shared" ref="N38" si="7">N35+N39</f>
        <v>8541.8797427674581</v>
      </c>
      <c r="O38" s="18"/>
    </row>
    <row r="39" spans="1:15" x14ac:dyDescent="0.2">
      <c r="C39" s="19" t="s">
        <v>27</v>
      </c>
      <c r="D39" s="27">
        <f>D9-D19*$D$14-D29*$D$24</f>
        <v>1566.10232</v>
      </c>
      <c r="E39" s="21">
        <f t="shared" ref="E39:N39" si="8">D39*(1+$O$39)</f>
        <v>1628.7464127999999</v>
      </c>
      <c r="F39" s="21">
        <f t="shared" si="8"/>
        <v>1693.896269312</v>
      </c>
      <c r="G39" s="21">
        <f t="shared" si="8"/>
        <v>1761.65212008448</v>
      </c>
      <c r="H39" s="21">
        <f t="shared" si="8"/>
        <v>1832.1182048878593</v>
      </c>
      <c r="I39" s="21">
        <f t="shared" si="8"/>
        <v>1905.4029330833737</v>
      </c>
      <c r="J39" s="21">
        <f t="shared" si="8"/>
        <v>1981.6190504067088</v>
      </c>
      <c r="K39" s="21">
        <f t="shared" si="8"/>
        <v>2060.8838124229774</v>
      </c>
      <c r="L39" s="21">
        <f t="shared" si="8"/>
        <v>2143.3191649198966</v>
      </c>
      <c r="M39" s="21">
        <f t="shared" si="8"/>
        <v>2229.0519315166925</v>
      </c>
      <c r="N39" s="21">
        <f t="shared" si="8"/>
        <v>2318.2140087773605</v>
      </c>
      <c r="O39" s="22">
        <v>0.04</v>
      </c>
    </row>
    <row r="40" spans="1:15" x14ac:dyDescent="0.2">
      <c r="C40" s="19" t="s">
        <v>28</v>
      </c>
      <c r="D40" s="20">
        <f>D10-D20*$D$14-D30*$D$24</f>
        <v>65550.289476219012</v>
      </c>
      <c r="E40" s="26"/>
      <c r="F40" s="26"/>
      <c r="G40" s="25"/>
      <c r="H40" s="21"/>
      <c r="I40" s="25"/>
      <c r="J40" s="25"/>
      <c r="K40" s="25"/>
      <c r="L40" s="25"/>
      <c r="M40" s="25"/>
      <c r="N40" s="25"/>
      <c r="O40" s="18"/>
    </row>
    <row r="41" spans="1:15" x14ac:dyDescent="0.2">
      <c r="C41" s="16" t="s">
        <v>37</v>
      </c>
      <c r="D41" s="25">
        <f>D35/D38</f>
        <v>0.64797701065136681</v>
      </c>
      <c r="E41" s="25">
        <f t="shared" ref="E41:I41" si="9">E35/E38</f>
        <v>0.65653686509088072</v>
      </c>
      <c r="F41" s="25">
        <f t="shared" si="9"/>
        <v>0.66499618638264324</v>
      </c>
      <c r="G41" s="25">
        <f t="shared" si="9"/>
        <v>0.67335081943497987</v>
      </c>
      <c r="H41" s="25">
        <f t="shared" si="9"/>
        <v>0.68159685852058893</v>
      </c>
      <c r="I41" s="25">
        <f t="shared" si="9"/>
        <v>0.68973065134139411</v>
      </c>
      <c r="J41" s="25">
        <f t="shared" ref="J41:N41" si="10">J35/J38</f>
        <v>0.6977488019453536</v>
      </c>
      <c r="K41" s="25">
        <f t="shared" si="10"/>
        <v>0.70564817252126566</v>
      </c>
      <c r="L41" s="25">
        <f t="shared" si="10"/>
        <v>0.71342588410485441</v>
      </c>
      <c r="M41" s="25">
        <f t="shared" si="10"/>
        <v>0.72107931623598798</v>
      </c>
      <c r="N41" s="25">
        <f t="shared" si="10"/>
        <v>0.72860610561273376</v>
      </c>
      <c r="O41" s="18"/>
    </row>
    <row r="42" spans="1:15" x14ac:dyDescent="0.2">
      <c r="C42" s="16" t="s">
        <v>38</v>
      </c>
      <c r="D42" s="25">
        <f>D35/$D$40</f>
        <v>4.397785979337035E-2</v>
      </c>
      <c r="E42" s="25">
        <f t="shared" ref="E42:I42" si="11">E35/$D$40</f>
        <v>4.7496088576839984E-2</v>
      </c>
      <c r="F42" s="25">
        <f t="shared" si="11"/>
        <v>5.1295775662987181E-2</v>
      </c>
      <c r="G42" s="25">
        <f t="shared" si="11"/>
        <v>5.5399437716026158E-2</v>
      </c>
      <c r="H42" s="25">
        <f t="shared" si="11"/>
        <v>5.9831392733308252E-2</v>
      </c>
      <c r="I42" s="25">
        <f t="shared" si="11"/>
        <v>6.461790415197291E-2</v>
      </c>
      <c r="J42" s="25">
        <f t="shared" ref="J42:N42" si="12">J35/$D$40</f>
        <v>6.9787336484130755E-2</v>
      </c>
      <c r="K42" s="25">
        <f t="shared" si="12"/>
        <v>7.537032340286122E-2</v>
      </c>
      <c r="L42" s="25">
        <f t="shared" si="12"/>
        <v>8.1399949275090117E-2</v>
      </c>
      <c r="M42" s="25">
        <f t="shared" si="12"/>
        <v>8.7911945217097345E-2</v>
      </c>
      <c r="N42" s="25">
        <f t="shared" si="12"/>
        <v>9.4944900834465135E-2</v>
      </c>
      <c r="O42" s="18"/>
    </row>
    <row r="43" spans="1:15" x14ac:dyDescent="0.2">
      <c r="C43" s="16" t="s">
        <v>39</v>
      </c>
      <c r="D43" s="25">
        <f>D39/$D$40</f>
        <v>2.3891615620830572E-2</v>
      </c>
      <c r="E43" s="25">
        <f t="shared" ref="E43:I43" si="13">E39/$D$40</f>
        <v>2.4847280245663794E-2</v>
      </c>
      <c r="F43" s="25">
        <f t="shared" si="13"/>
        <v>2.5841171455490346E-2</v>
      </c>
      <c r="G43" s="25">
        <f t="shared" si="13"/>
        <v>2.6874818313709959E-2</v>
      </c>
      <c r="H43" s="25">
        <f t="shared" si="13"/>
        <v>2.794981104625836E-2</v>
      </c>
      <c r="I43" s="25">
        <f t="shared" si="13"/>
        <v>2.9067803488108696E-2</v>
      </c>
      <c r="J43" s="25">
        <f t="shared" ref="J43:N43" si="14">J39/$D$40</f>
        <v>3.0230515627633046E-2</v>
      </c>
      <c r="K43" s="25">
        <f t="shared" si="14"/>
        <v>3.1439736252738368E-2</v>
      </c>
      <c r="L43" s="25">
        <f t="shared" si="14"/>
        <v>3.2697325702847904E-2</v>
      </c>
      <c r="M43" s="25">
        <f t="shared" si="14"/>
        <v>3.4005218730961823E-2</v>
      </c>
      <c r="N43" s="25">
        <f t="shared" si="14"/>
        <v>3.5365427480200301E-2</v>
      </c>
      <c r="O43" s="18"/>
    </row>
    <row r="44" spans="1:15" s="4" customFormat="1" x14ac:dyDescent="0.2">
      <c r="A44" s="1"/>
      <c r="B44" s="1"/>
      <c r="C44" s="19" t="s">
        <v>40</v>
      </c>
      <c r="D44" s="28">
        <f>SUM(D42:D43)</f>
        <v>6.7869475414200922E-2</v>
      </c>
      <c r="E44" s="28">
        <f t="shared" ref="E44:I44" si="15">SUM(E42:E43)</f>
        <v>7.2343368822503779E-2</v>
      </c>
      <c r="F44" s="28">
        <f t="shared" si="15"/>
        <v>7.7136947118477531E-2</v>
      </c>
      <c r="G44" s="28">
        <f t="shared" si="15"/>
        <v>8.227425602973612E-2</v>
      </c>
      <c r="H44" s="28">
        <f t="shared" si="15"/>
        <v>8.7781203779566608E-2</v>
      </c>
      <c r="I44" s="28">
        <f t="shared" si="15"/>
        <v>9.3685707640081606E-2</v>
      </c>
      <c r="J44" s="28">
        <f t="shared" ref="J44" si="16">SUM(J42:J43)</f>
        <v>0.1000178521117638</v>
      </c>
      <c r="K44" s="28">
        <f t="shared" ref="K44" si="17">SUM(K42:K43)</f>
        <v>0.10681005965559959</v>
      </c>
      <c r="L44" s="28">
        <f t="shared" ref="L44" si="18">SUM(L42:L43)</f>
        <v>0.11409727497793802</v>
      </c>
      <c r="M44" s="28">
        <f t="shared" ref="M44" si="19">SUM(M42:M43)</f>
        <v>0.12191716394805917</v>
      </c>
      <c r="N44" s="28">
        <f t="shared" ref="N44" si="20">SUM(N42:N43)</f>
        <v>0.13031032831466544</v>
      </c>
      <c r="O44" s="29"/>
    </row>
    <row r="45" spans="1:15" x14ac:dyDescent="0.2">
      <c r="C45" s="37" t="s">
        <v>51</v>
      </c>
      <c r="D45" s="38">
        <f t="shared" ref="D45" si="21">1/D44</f>
        <v>14.73416427483925</v>
      </c>
      <c r="E45" s="38">
        <f>1/E44</f>
        <v>13.822967001350523</v>
      </c>
      <c r="F45" s="38">
        <f t="shared" ref="F45:N45" si="22">1/F44</f>
        <v>12.963956150145046</v>
      </c>
      <c r="G45" s="38">
        <f t="shared" si="22"/>
        <v>12.154470283372397</v>
      </c>
      <c r="H45" s="38">
        <f t="shared" si="22"/>
        <v>11.391960430517317</v>
      </c>
      <c r="I45" s="38">
        <f t="shared" si="22"/>
        <v>10.673986728496136</v>
      </c>
      <c r="J45" s="38">
        <f t="shared" si="22"/>
        <v>9.998215107464631</v>
      </c>
      <c r="K45" s="38">
        <f t="shared" si="22"/>
        <v>9.3624140200316273</v>
      </c>
      <c r="L45" s="38">
        <f t="shared" si="22"/>
        <v>8.7644512122954836</v>
      </c>
      <c r="M45" s="38">
        <f t="shared" si="22"/>
        <v>8.2022905357775038</v>
      </c>
      <c r="N45" s="38">
        <f t="shared" si="22"/>
        <v>7.673988799915084</v>
      </c>
      <c r="O45" s="30"/>
    </row>
  </sheetData>
  <pageMargins left="0.7" right="0.7" top="0.75" bottom="0.75" header="0.3" footer="0.3"/>
  <pageSetup paperSize="9"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46"/>
  <sheetViews>
    <sheetView showGridLines="0" tabSelected="1" workbookViewId="0">
      <selection activeCell="J15" sqref="J15"/>
    </sheetView>
  </sheetViews>
  <sheetFormatPr defaultColWidth="8.69921875" defaultRowHeight="13.8" x14ac:dyDescent="0.2"/>
  <cols>
    <col min="1" max="2" width="8.69921875" style="1"/>
    <col min="3" max="3" width="16.19921875" style="1" bestFit="1" customWidth="1"/>
    <col min="4" max="5" width="9.69921875" style="1" bestFit="1" customWidth="1"/>
    <col min="6" max="7" width="8.69921875" style="1"/>
    <col min="8" max="8" width="22.69921875" style="1" bestFit="1" customWidth="1"/>
    <col min="9" max="16384" width="8.69921875" style="1"/>
  </cols>
  <sheetData>
    <row r="3" spans="3:9" ht="11.4" x14ac:dyDescent="0.2">
      <c r="C3" s="13" t="s">
        <v>49</v>
      </c>
      <c r="D3" s="15" t="s">
        <v>20</v>
      </c>
    </row>
    <row r="4" spans="3:9" ht="11.4" x14ac:dyDescent="0.2">
      <c r="C4" s="16" t="s">
        <v>21</v>
      </c>
      <c r="D4" s="31">
        <v>43100</v>
      </c>
    </row>
    <row r="5" spans="3:9" s="4" customFormat="1" ht="11.4" x14ac:dyDescent="0.2">
      <c r="C5" s="19" t="s">
        <v>23</v>
      </c>
      <c r="D5" s="32">
        <v>3478.9</v>
      </c>
    </row>
    <row r="6" spans="3:9" ht="11.4" x14ac:dyDescent="0.2">
      <c r="C6" s="23" t="s">
        <v>24</v>
      </c>
      <c r="D6" s="33">
        <v>6478.1</v>
      </c>
    </row>
    <row r="7" spans="3:9" ht="11.4" x14ac:dyDescent="0.2">
      <c r="C7" s="23" t="s">
        <v>25</v>
      </c>
      <c r="D7" s="33">
        <v>-1440.1</v>
      </c>
    </row>
    <row r="8" spans="3:9" ht="11.4" x14ac:dyDescent="0.2">
      <c r="C8" s="16" t="s">
        <v>26</v>
      </c>
      <c r="D8" s="18">
        <v>5038</v>
      </c>
    </row>
    <row r="9" spans="3:9" s="4" customFormat="1" ht="11.4" x14ac:dyDescent="0.2">
      <c r="C9" s="19" t="s">
        <v>27</v>
      </c>
      <c r="D9" s="29">
        <v>1559.1</v>
      </c>
      <c r="H9" s="1"/>
      <c r="I9" s="1"/>
    </row>
    <row r="10" spans="3:9" s="4" customFormat="1" ht="11.4" x14ac:dyDescent="0.2">
      <c r="C10" s="34" t="s">
        <v>28</v>
      </c>
      <c r="D10" s="35">
        <v>103744.72957</v>
      </c>
      <c r="H10" s="1"/>
      <c r="I10" s="1"/>
    </row>
    <row r="11" spans="3:9" ht="11.4" x14ac:dyDescent="0.2"/>
    <row r="12" spans="3:9" ht="11.4" x14ac:dyDescent="0.2">
      <c r="C12" s="13" t="s">
        <v>30</v>
      </c>
      <c r="D12" s="15" t="s">
        <v>20</v>
      </c>
    </row>
    <row r="13" spans="3:9" ht="11.4" x14ac:dyDescent="0.2">
      <c r="C13" s="16" t="s">
        <v>52</v>
      </c>
      <c r="D13" s="31">
        <v>43100</v>
      </c>
    </row>
    <row r="14" spans="3:9" ht="11.4" x14ac:dyDescent="0.2">
      <c r="C14" s="16" t="s">
        <v>22</v>
      </c>
      <c r="D14" s="36">
        <v>0.67</v>
      </c>
    </row>
    <row r="15" spans="3:9" s="4" customFormat="1" ht="11.4" x14ac:dyDescent="0.2">
      <c r="C15" s="19" t="s">
        <v>23</v>
      </c>
      <c r="D15" s="32">
        <v>440.2</v>
      </c>
    </row>
    <row r="16" spans="3:9" ht="11.4" x14ac:dyDescent="0.2">
      <c r="C16" s="23" t="s">
        <v>24</v>
      </c>
      <c r="D16" s="33">
        <v>639</v>
      </c>
    </row>
    <row r="17" spans="3:15" ht="11.4" x14ac:dyDescent="0.2">
      <c r="C17" s="23" t="s">
        <v>25</v>
      </c>
      <c r="D17" s="33">
        <v>-137.19999999999999</v>
      </c>
    </row>
    <row r="18" spans="3:15" ht="11.4" x14ac:dyDescent="0.2">
      <c r="C18" s="16" t="s">
        <v>26</v>
      </c>
      <c r="D18" s="18">
        <v>501.8</v>
      </c>
    </row>
    <row r="19" spans="3:15" s="4" customFormat="1" ht="11.4" x14ac:dyDescent="0.2">
      <c r="C19" s="19" t="s">
        <v>27</v>
      </c>
      <c r="D19" s="29">
        <v>61.600000000000023</v>
      </c>
    </row>
    <row r="20" spans="3:15" ht="11.4" x14ac:dyDescent="0.2">
      <c r="C20" s="34" t="s">
        <v>28</v>
      </c>
      <c r="D20" s="35">
        <v>31061.112969999998</v>
      </c>
      <c r="G20" s="9"/>
    </row>
    <row r="21" spans="3:15" ht="11.4" x14ac:dyDescent="0.2">
      <c r="C21" s="4"/>
      <c r="D21" s="7"/>
    </row>
    <row r="22" spans="3:15" ht="11.4" x14ac:dyDescent="0.2">
      <c r="C22" s="13" t="s">
        <v>46</v>
      </c>
      <c r="D22" s="15" t="s">
        <v>20</v>
      </c>
    </row>
    <row r="23" spans="3:15" ht="11.4" x14ac:dyDescent="0.2">
      <c r="C23" s="16" t="s">
        <v>47</v>
      </c>
      <c r="D23" s="31">
        <v>43100</v>
      </c>
    </row>
    <row r="24" spans="3:15" ht="11.4" x14ac:dyDescent="0.2">
      <c r="C24" s="16" t="s">
        <v>22</v>
      </c>
      <c r="D24" s="36">
        <v>0.84989999999999999</v>
      </c>
    </row>
    <row r="25" spans="3:15" ht="11.4" x14ac:dyDescent="0.2">
      <c r="C25" s="19" t="s">
        <v>23</v>
      </c>
      <c r="D25" s="32">
        <v>354.4</v>
      </c>
    </row>
    <row r="26" spans="3:15" ht="11.4" x14ac:dyDescent="0.2">
      <c r="C26" s="23" t="s">
        <v>24</v>
      </c>
      <c r="D26" s="33">
        <v>385.3</v>
      </c>
    </row>
    <row r="27" spans="3:15" ht="11.4" x14ac:dyDescent="0.2">
      <c r="C27" s="23" t="s">
        <v>25</v>
      </c>
      <c r="D27" s="33">
        <v>-87.7</v>
      </c>
    </row>
    <row r="28" spans="3:15" ht="11.4" x14ac:dyDescent="0.2">
      <c r="C28" s="16" t="s">
        <v>26</v>
      </c>
      <c r="D28" s="18">
        <v>297.60000000000002</v>
      </c>
    </row>
    <row r="29" spans="3:15" ht="11.4" x14ac:dyDescent="0.2">
      <c r="C29" s="19" t="s">
        <v>27</v>
      </c>
      <c r="D29" s="29">
        <v>-56.799999999999955</v>
      </c>
    </row>
    <row r="30" spans="3:15" ht="11.4" x14ac:dyDescent="0.2">
      <c r="C30" s="34" t="s">
        <v>28</v>
      </c>
      <c r="D30" s="35">
        <v>20453.57619</v>
      </c>
      <c r="L30" s="9"/>
    </row>
    <row r="31" spans="3:15" ht="11.4" x14ac:dyDescent="0.2">
      <c r="C31" s="4"/>
      <c r="D31" s="7"/>
    </row>
    <row r="32" spans="3:15" ht="11.4" x14ac:dyDescent="0.2">
      <c r="C32" s="13"/>
      <c r="D32" s="14">
        <v>0</v>
      </c>
      <c r="E32" s="14">
        <v>1</v>
      </c>
      <c r="F32" s="14">
        <v>2</v>
      </c>
      <c r="G32" s="14">
        <v>3</v>
      </c>
      <c r="H32" s="14">
        <v>4</v>
      </c>
      <c r="I32" s="14">
        <v>5</v>
      </c>
      <c r="J32" s="14">
        <v>6</v>
      </c>
      <c r="K32" s="14">
        <v>7</v>
      </c>
      <c r="L32" s="14">
        <v>8</v>
      </c>
      <c r="M32" s="14">
        <v>9</v>
      </c>
      <c r="N32" s="14">
        <v>10</v>
      </c>
      <c r="O32" s="15"/>
    </row>
    <row r="33" spans="1:15" ht="22.8" x14ac:dyDescent="0.2">
      <c r="C33" s="39" t="s">
        <v>50</v>
      </c>
      <c r="D33" s="26" t="s">
        <v>20</v>
      </c>
      <c r="E33" s="26" t="s">
        <v>32</v>
      </c>
      <c r="F33" s="26" t="s">
        <v>33</v>
      </c>
      <c r="G33" s="26" t="s">
        <v>34</v>
      </c>
      <c r="H33" s="26" t="s">
        <v>35</v>
      </c>
      <c r="I33" s="26" t="s">
        <v>36</v>
      </c>
      <c r="J33" s="26" t="s">
        <v>41</v>
      </c>
      <c r="K33" s="26" t="s">
        <v>42</v>
      </c>
      <c r="L33" s="26" t="s">
        <v>43</v>
      </c>
      <c r="M33" s="26" t="s">
        <v>44</v>
      </c>
      <c r="N33" s="26" t="s">
        <v>45</v>
      </c>
      <c r="O33" s="18"/>
    </row>
    <row r="34" spans="1:15" ht="11.4" x14ac:dyDescent="0.2">
      <c r="C34" s="16"/>
      <c r="D34" s="17">
        <v>43100</v>
      </c>
      <c r="E34" s="17">
        <v>43465</v>
      </c>
      <c r="F34" s="17">
        <v>43830</v>
      </c>
      <c r="G34" s="17">
        <v>44196</v>
      </c>
      <c r="H34" s="17">
        <v>44561</v>
      </c>
      <c r="I34" s="17">
        <v>44926</v>
      </c>
      <c r="J34" s="17">
        <v>45291</v>
      </c>
      <c r="K34" s="17">
        <v>45657</v>
      </c>
      <c r="L34" s="17">
        <v>46022</v>
      </c>
      <c r="M34" s="17">
        <v>46387</v>
      </c>
      <c r="N34" s="17">
        <v>46752</v>
      </c>
      <c r="O34" s="18"/>
    </row>
    <row r="35" spans="1:15" ht="11.4" x14ac:dyDescent="0.2">
      <c r="C35" s="19" t="s">
        <v>23</v>
      </c>
      <c r="D35" s="20">
        <v>2882.7614399999998</v>
      </c>
      <c r="E35" s="21">
        <v>3113.3823551999999</v>
      </c>
      <c r="F35" s="21">
        <v>3362.4529436160001</v>
      </c>
      <c r="G35" s="21">
        <v>3631.4491791052801</v>
      </c>
      <c r="H35" s="21">
        <v>3921.9651134337028</v>
      </c>
      <c r="I35" s="21">
        <v>4235.722322508399</v>
      </c>
      <c r="J35" s="21">
        <v>4574.580108309071</v>
      </c>
      <c r="K35" s="21">
        <v>4940.5465169737972</v>
      </c>
      <c r="L35" s="21">
        <v>5335.7902383317014</v>
      </c>
      <c r="M35" s="21">
        <v>5762.6534573982381</v>
      </c>
      <c r="N35" s="21">
        <v>6223.6657339900976</v>
      </c>
      <c r="O35" s="22">
        <v>0.08</v>
      </c>
    </row>
    <row r="36" spans="1:15" ht="11.4" x14ac:dyDescent="0.2">
      <c r="C36" s="23" t="s">
        <v>24</v>
      </c>
      <c r="D36" s="24">
        <v>5722.50353</v>
      </c>
      <c r="E36" s="25"/>
      <c r="F36" s="26"/>
      <c r="G36" s="25"/>
      <c r="H36" s="21"/>
      <c r="I36" s="26"/>
      <c r="J36" s="26"/>
      <c r="K36" s="26"/>
      <c r="L36" s="26"/>
      <c r="M36" s="26"/>
      <c r="N36" s="26"/>
      <c r="O36" s="18"/>
    </row>
    <row r="37" spans="1:15" ht="11.4" x14ac:dyDescent="0.2">
      <c r="C37" s="23" t="s">
        <v>25</v>
      </c>
      <c r="D37" s="24">
        <v>-1273.63977</v>
      </c>
      <c r="E37" s="25"/>
      <c r="F37" s="26"/>
      <c r="G37" s="25"/>
      <c r="H37" s="21"/>
      <c r="I37" s="26"/>
      <c r="J37" s="26"/>
      <c r="K37" s="26"/>
      <c r="L37" s="26"/>
      <c r="M37" s="26"/>
      <c r="N37" s="26"/>
      <c r="O37" s="18"/>
    </row>
    <row r="38" spans="1:15" ht="11.4" x14ac:dyDescent="0.2">
      <c r="C38" s="16" t="s">
        <v>26</v>
      </c>
      <c r="D38" s="21">
        <v>4448.8637600000002</v>
      </c>
      <c r="E38" s="21">
        <v>4742.1287679999996</v>
      </c>
      <c r="F38" s="21">
        <v>5056.3492129280003</v>
      </c>
      <c r="G38" s="21">
        <v>5393.1012991897605</v>
      </c>
      <c r="H38" s="21">
        <v>5754.0833183215618</v>
      </c>
      <c r="I38" s="21">
        <v>6141.1252555917727</v>
      </c>
      <c r="J38" s="21">
        <v>6556.19915871578</v>
      </c>
      <c r="K38" s="21">
        <v>7001.4303293967751</v>
      </c>
      <c r="L38" s="21">
        <v>7479.1094032515975</v>
      </c>
      <c r="M38" s="21">
        <v>7991.7053889149302</v>
      </c>
      <c r="N38" s="21">
        <v>8541.8797427674581</v>
      </c>
      <c r="O38" s="18"/>
    </row>
    <row r="39" spans="1:15" ht="11.4" x14ac:dyDescent="0.2">
      <c r="C39" s="19" t="s">
        <v>27</v>
      </c>
      <c r="D39" s="27">
        <v>1566.10232</v>
      </c>
      <c r="E39" s="21">
        <v>1628.7464127999999</v>
      </c>
      <c r="F39" s="21">
        <v>1693.896269312</v>
      </c>
      <c r="G39" s="21">
        <v>1761.65212008448</v>
      </c>
      <c r="H39" s="21">
        <v>1832.1182048878593</v>
      </c>
      <c r="I39" s="21">
        <v>1905.4029330833737</v>
      </c>
      <c r="J39" s="21">
        <v>1981.6190504067088</v>
      </c>
      <c r="K39" s="21">
        <v>2060.8838124229774</v>
      </c>
      <c r="L39" s="21">
        <v>2143.3191649198966</v>
      </c>
      <c r="M39" s="21">
        <v>2229.0519315166925</v>
      </c>
      <c r="N39" s="21">
        <v>2318.2140087773605</v>
      </c>
      <c r="O39" s="22">
        <v>0.04</v>
      </c>
    </row>
    <row r="40" spans="1:15" ht="11.4" x14ac:dyDescent="0.2">
      <c r="C40" s="19" t="s">
        <v>28</v>
      </c>
      <c r="D40" s="20">
        <v>65550.289476219012</v>
      </c>
      <c r="E40" s="26"/>
      <c r="F40" s="26"/>
      <c r="G40" s="25"/>
      <c r="H40" s="21"/>
      <c r="I40" s="25"/>
      <c r="J40" s="25"/>
      <c r="K40" s="25"/>
      <c r="L40" s="25"/>
      <c r="M40" s="25"/>
      <c r="N40" s="25"/>
      <c r="O40" s="18"/>
    </row>
    <row r="41" spans="1:15" ht="11.4" x14ac:dyDescent="0.2">
      <c r="C41" s="16" t="s">
        <v>37</v>
      </c>
      <c r="D41" s="25">
        <v>0.64797701065136681</v>
      </c>
      <c r="E41" s="25">
        <v>0.65653686509088072</v>
      </c>
      <c r="F41" s="25">
        <v>0.66499618638264324</v>
      </c>
      <c r="G41" s="25">
        <v>0.67335081943497987</v>
      </c>
      <c r="H41" s="25">
        <v>0.68159685852058893</v>
      </c>
      <c r="I41" s="25">
        <v>0.68973065134139411</v>
      </c>
      <c r="J41" s="25">
        <v>0.6977488019453536</v>
      </c>
      <c r="K41" s="25">
        <v>0.70564817252126566</v>
      </c>
      <c r="L41" s="25">
        <v>0.71342588410485441</v>
      </c>
      <c r="M41" s="25">
        <v>0.72107931623598798</v>
      </c>
      <c r="N41" s="25">
        <v>0.72860610561273376</v>
      </c>
      <c r="O41" s="18"/>
    </row>
    <row r="42" spans="1:15" ht="11.4" x14ac:dyDescent="0.2">
      <c r="C42" s="16" t="s">
        <v>38</v>
      </c>
      <c r="D42" s="25">
        <v>4.397785979337035E-2</v>
      </c>
      <c r="E42" s="25">
        <v>4.7496088576839984E-2</v>
      </c>
      <c r="F42" s="25">
        <v>5.1295775662987181E-2</v>
      </c>
      <c r="G42" s="25">
        <v>5.5399437716026158E-2</v>
      </c>
      <c r="H42" s="25">
        <v>5.9831392733308252E-2</v>
      </c>
      <c r="I42" s="25">
        <v>6.461790415197291E-2</v>
      </c>
      <c r="J42" s="25">
        <v>6.9787336484130755E-2</v>
      </c>
      <c r="K42" s="25">
        <v>7.537032340286122E-2</v>
      </c>
      <c r="L42" s="25">
        <v>8.1399949275090117E-2</v>
      </c>
      <c r="M42" s="25">
        <v>8.7911945217097345E-2</v>
      </c>
      <c r="N42" s="25">
        <v>9.4944900834465135E-2</v>
      </c>
      <c r="O42" s="18"/>
    </row>
    <row r="43" spans="1:15" ht="11.4" x14ac:dyDescent="0.2">
      <c r="C43" s="16" t="s">
        <v>39</v>
      </c>
      <c r="D43" s="25">
        <v>2.3891615620830572E-2</v>
      </c>
      <c r="E43" s="25">
        <v>2.4847280245663794E-2</v>
      </c>
      <c r="F43" s="25">
        <v>2.5841171455490346E-2</v>
      </c>
      <c r="G43" s="25">
        <v>2.6874818313709959E-2</v>
      </c>
      <c r="H43" s="25">
        <v>2.794981104625836E-2</v>
      </c>
      <c r="I43" s="25">
        <v>2.9067803488108696E-2</v>
      </c>
      <c r="J43" s="25">
        <v>3.0230515627633046E-2</v>
      </c>
      <c r="K43" s="25">
        <v>3.1439736252738368E-2</v>
      </c>
      <c r="L43" s="25">
        <v>3.2697325702847904E-2</v>
      </c>
      <c r="M43" s="25">
        <v>3.4005218730961823E-2</v>
      </c>
      <c r="N43" s="25">
        <v>3.5365427480200301E-2</v>
      </c>
      <c r="O43" s="18"/>
    </row>
    <row r="44" spans="1:15" s="4" customFormat="1" ht="11.4" x14ac:dyDescent="0.2">
      <c r="A44" s="1"/>
      <c r="B44" s="1"/>
      <c r="C44" s="19" t="s">
        <v>40</v>
      </c>
      <c r="D44" s="28">
        <v>6.7869475414200922E-2</v>
      </c>
      <c r="E44" s="28">
        <v>7.2343368822503779E-2</v>
      </c>
      <c r="F44" s="28">
        <v>7.7136947118477531E-2</v>
      </c>
      <c r="G44" s="28">
        <v>8.227425602973612E-2</v>
      </c>
      <c r="H44" s="28">
        <v>8.7781203779566608E-2</v>
      </c>
      <c r="I44" s="28">
        <v>9.3685707640081606E-2</v>
      </c>
      <c r="J44" s="28">
        <v>0.1000178521117638</v>
      </c>
      <c r="K44" s="28">
        <v>0.10681005965559959</v>
      </c>
      <c r="L44" s="28">
        <v>0.11409727497793802</v>
      </c>
      <c r="M44" s="28">
        <v>0.12191716394805917</v>
      </c>
      <c r="N44" s="28">
        <v>0.13031032831466544</v>
      </c>
      <c r="O44" s="29"/>
    </row>
    <row r="45" spans="1:15" ht="11.4" x14ac:dyDescent="0.2">
      <c r="C45" s="37" t="s">
        <v>51</v>
      </c>
      <c r="D45" s="38">
        <v>14.73416427483925</v>
      </c>
      <c r="E45" s="38">
        <v>13.822967001350523</v>
      </c>
      <c r="F45" s="38">
        <v>12.963956150145046</v>
      </c>
      <c r="G45" s="38">
        <v>12.154470283372397</v>
      </c>
      <c r="H45" s="38">
        <v>11.391960430517317</v>
      </c>
      <c r="I45" s="38">
        <v>10.673986728496136</v>
      </c>
      <c r="J45" s="38">
        <v>9.998215107464631</v>
      </c>
      <c r="K45" s="38">
        <v>9.3624140200316273</v>
      </c>
      <c r="L45" s="38">
        <v>8.7644512122954836</v>
      </c>
      <c r="M45" s="38">
        <v>8.2022905357775038</v>
      </c>
      <c r="N45" s="38">
        <v>7.673988799915084</v>
      </c>
      <c r="O45" s="30"/>
    </row>
    <row r="46" spans="1:15" ht="11.4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2"/>
  <sheetViews>
    <sheetView showGridLines="0" workbookViewId="0">
      <selection activeCell="A9" sqref="A1:XFD9"/>
    </sheetView>
  </sheetViews>
  <sheetFormatPr defaultColWidth="8.69921875" defaultRowHeight="11.4" x14ac:dyDescent="0.2"/>
  <cols>
    <col min="1" max="2" width="8.69921875" style="1"/>
    <col min="3" max="3" width="16.19921875" style="1" bestFit="1" customWidth="1"/>
    <col min="4" max="5" width="9.69921875" style="1" bestFit="1" customWidth="1"/>
    <col min="6" max="16384" width="8.69921875" style="1"/>
  </cols>
  <sheetData>
    <row r="2" spans="3:4" x14ac:dyDescent="0.2">
      <c r="C2" s="1" t="s">
        <v>29</v>
      </c>
      <c r="D2" s="1" t="s">
        <v>20</v>
      </c>
    </row>
    <row r="3" spans="3:4" x14ac:dyDescent="0.2">
      <c r="C3" s="1" t="s">
        <v>21</v>
      </c>
      <c r="D3" s="2">
        <v>43100</v>
      </c>
    </row>
    <row r="4" spans="3:4" x14ac:dyDescent="0.2">
      <c r="C4" s="5" t="s">
        <v>24</v>
      </c>
      <c r="D4" s="6">
        <v>6478.1</v>
      </c>
    </row>
    <row r="5" spans="3:4" x14ac:dyDescent="0.2">
      <c r="C5" s="5" t="s">
        <v>25</v>
      </c>
      <c r="D5" s="6">
        <v>-1440.1</v>
      </c>
    </row>
    <row r="6" spans="3:4" x14ac:dyDescent="0.2">
      <c r="C6" s="1" t="s">
        <v>26</v>
      </c>
      <c r="D6" s="1">
        <f>SUM(D4:D5)</f>
        <v>5038</v>
      </c>
    </row>
    <row r="7" spans="3:4" s="4" customFormat="1" x14ac:dyDescent="0.2">
      <c r="C7" s="4" t="s">
        <v>28</v>
      </c>
      <c r="D7" s="7">
        <f>_xll.ciqfunctions.udf.CIQ(C3, "IQ_MARKETCAP", , "GBP")</f>
        <v>103744.72957</v>
      </c>
    </row>
    <row r="9" spans="3:4" x14ac:dyDescent="0.2">
      <c r="C9" s="1" t="s">
        <v>30</v>
      </c>
      <c r="D9" s="1" t="s">
        <v>20</v>
      </c>
    </row>
    <row r="10" spans="3:4" x14ac:dyDescent="0.2">
      <c r="C10" s="1" t="str">
        <f>"BSE:500696"</f>
        <v>BSE:500696</v>
      </c>
      <c r="D10" s="2">
        <v>43100</v>
      </c>
    </row>
    <row r="11" spans="3:4" x14ac:dyDescent="0.2">
      <c r="C11" s="1" t="s">
        <v>22</v>
      </c>
      <c r="D11" s="8">
        <v>0.67</v>
      </c>
    </row>
    <row r="12" spans="3:4" x14ac:dyDescent="0.2">
      <c r="C12" s="5" t="s">
        <v>24</v>
      </c>
      <c r="D12" s="6">
        <v>639</v>
      </c>
    </row>
    <row r="13" spans="3:4" x14ac:dyDescent="0.2">
      <c r="C13" s="5" t="s">
        <v>25</v>
      </c>
      <c r="D13" s="6">
        <v>-137.19999999999999</v>
      </c>
    </row>
    <row r="14" spans="3:4" x14ac:dyDescent="0.2">
      <c r="C14" s="1" t="s">
        <v>26</v>
      </c>
      <c r="D14" s="1">
        <f>SUM(D12:D13)</f>
        <v>501.8</v>
      </c>
    </row>
    <row r="15" spans="3:4" x14ac:dyDescent="0.2">
      <c r="C15" s="4" t="s">
        <v>28</v>
      </c>
      <c r="D15" s="7">
        <f>_xll.ciqfunctions.udf.CIQ(C10, "IQ_MARKETCAP", , "GBP")</f>
        <v>31061.112969999998</v>
      </c>
    </row>
    <row r="16" spans="3:4" x14ac:dyDescent="0.2">
      <c r="C16" s="4"/>
      <c r="D16" s="7"/>
    </row>
    <row r="17" spans="1:15" x14ac:dyDescent="0.2">
      <c r="C17" s="1" t="s">
        <v>46</v>
      </c>
      <c r="D17" s="1" t="s">
        <v>20</v>
      </c>
    </row>
    <row r="18" spans="1:15" x14ac:dyDescent="0.2">
      <c r="C18" s="1" t="s">
        <v>47</v>
      </c>
      <c r="D18" s="2">
        <v>43100</v>
      </c>
    </row>
    <row r="19" spans="1:15" x14ac:dyDescent="0.2">
      <c r="C19" s="1" t="s">
        <v>22</v>
      </c>
      <c r="D19" s="8">
        <v>0.84989999999999999</v>
      </c>
    </row>
    <row r="20" spans="1:15" x14ac:dyDescent="0.2">
      <c r="C20" s="5" t="s">
        <v>24</v>
      </c>
      <c r="D20" s="6">
        <v>385.3</v>
      </c>
    </row>
    <row r="21" spans="1:15" x14ac:dyDescent="0.2">
      <c r="C21" s="5" t="s">
        <v>25</v>
      </c>
      <c r="D21" s="6">
        <v>-87.7</v>
      </c>
    </row>
    <row r="22" spans="1:15" x14ac:dyDescent="0.2">
      <c r="C22" s="1" t="s">
        <v>26</v>
      </c>
      <c r="D22" s="1">
        <f>SUM(D20:D21)</f>
        <v>297.60000000000002</v>
      </c>
    </row>
    <row r="23" spans="1:15" x14ac:dyDescent="0.2">
      <c r="C23" s="4" t="s">
        <v>28</v>
      </c>
      <c r="D23" s="7">
        <f>_xll.ciqfunctions.udf.CIQ(C18, "IQ_MARKETCAP", , "GBP")</f>
        <v>20453.57619</v>
      </c>
    </row>
    <row r="24" spans="1:15" x14ac:dyDescent="0.2">
      <c r="C24" s="4"/>
      <c r="D24" s="7"/>
    </row>
    <row r="25" spans="1:15" x14ac:dyDescent="0.2">
      <c r="D25" s="1">
        <v>0</v>
      </c>
      <c r="E25" s="1">
        <f>D25+1</f>
        <v>1</v>
      </c>
      <c r="F25" s="1">
        <f t="shared" ref="F25:N25" si="0">E25+1</f>
        <v>2</v>
      </c>
      <c r="G25" s="1">
        <f t="shared" si="0"/>
        <v>3</v>
      </c>
      <c r="H25" s="1">
        <f t="shared" si="0"/>
        <v>4</v>
      </c>
      <c r="I25" s="1">
        <f t="shared" si="0"/>
        <v>5</v>
      </c>
      <c r="J25" s="1">
        <f t="shared" si="0"/>
        <v>6</v>
      </c>
      <c r="K25" s="1">
        <f t="shared" si="0"/>
        <v>7</v>
      </c>
      <c r="L25" s="1">
        <f t="shared" si="0"/>
        <v>8</v>
      </c>
      <c r="M25" s="1">
        <f t="shared" si="0"/>
        <v>9</v>
      </c>
      <c r="N25" s="1">
        <f t="shared" si="0"/>
        <v>10</v>
      </c>
    </row>
    <row r="26" spans="1:15" x14ac:dyDescent="0.2">
      <c r="C26" s="1" t="s">
        <v>31</v>
      </c>
      <c r="D26" s="1" t="s">
        <v>20</v>
      </c>
      <c r="E26" s="1" t="s">
        <v>32</v>
      </c>
      <c r="F26" s="1" t="s">
        <v>33</v>
      </c>
      <c r="G26" s="1" t="s">
        <v>34</v>
      </c>
      <c r="H26" s="1" t="s">
        <v>35</v>
      </c>
      <c r="I26" s="1" t="s">
        <v>36</v>
      </c>
      <c r="J26" s="1" t="s">
        <v>41</v>
      </c>
      <c r="K26" s="1" t="s">
        <v>42</v>
      </c>
      <c r="L26" s="1" t="s">
        <v>43</v>
      </c>
      <c r="M26" s="1" t="s">
        <v>44</v>
      </c>
      <c r="N26" s="1" t="s">
        <v>45</v>
      </c>
    </row>
    <row r="27" spans="1:15" x14ac:dyDescent="0.2">
      <c r="D27" s="2">
        <v>43100</v>
      </c>
      <c r="E27" s="2">
        <v>43465</v>
      </c>
      <c r="F27" s="2">
        <v>43830</v>
      </c>
      <c r="G27" s="2">
        <v>44196</v>
      </c>
      <c r="H27" s="2">
        <v>44561</v>
      </c>
      <c r="I27" s="2">
        <v>44926</v>
      </c>
      <c r="J27" s="2">
        <v>45291</v>
      </c>
      <c r="K27" s="2">
        <v>45657</v>
      </c>
      <c r="L27" s="2">
        <v>46022</v>
      </c>
      <c r="M27" s="2">
        <v>46387</v>
      </c>
      <c r="N27" s="2">
        <v>46752</v>
      </c>
    </row>
    <row r="28" spans="1:15" x14ac:dyDescent="0.2">
      <c r="C28" s="1" t="s">
        <v>26</v>
      </c>
      <c r="D28" s="10">
        <f>D6-D14*$D$11-D22*$D$19</f>
        <v>4448.8637600000002</v>
      </c>
      <c r="E28" s="10">
        <f>D28*(1+$O$28)</f>
        <v>4626.8183104</v>
      </c>
      <c r="F28" s="10">
        <f t="shared" ref="F28:N28" si="1">E28*(1+$O$28)</f>
        <v>4811.8910428159998</v>
      </c>
      <c r="G28" s="10">
        <f t="shared" si="1"/>
        <v>5004.3666845286398</v>
      </c>
      <c r="H28" s="10">
        <f t="shared" si="1"/>
        <v>5204.5413519097856</v>
      </c>
      <c r="I28" s="10">
        <f t="shared" si="1"/>
        <v>5412.7230059861768</v>
      </c>
      <c r="J28" s="10">
        <f t="shared" si="1"/>
        <v>5629.2319262256242</v>
      </c>
      <c r="K28" s="10">
        <f t="shared" si="1"/>
        <v>5854.4012032746496</v>
      </c>
      <c r="L28" s="10">
        <f t="shared" si="1"/>
        <v>6088.5772514056362</v>
      </c>
      <c r="M28" s="10">
        <f t="shared" si="1"/>
        <v>6332.1203414618622</v>
      </c>
      <c r="N28" s="10">
        <f t="shared" si="1"/>
        <v>6585.4051551203365</v>
      </c>
      <c r="O28" s="3">
        <v>0.04</v>
      </c>
    </row>
    <row r="29" spans="1:15" x14ac:dyDescent="0.2">
      <c r="C29" s="4" t="s">
        <v>28</v>
      </c>
      <c r="D29" s="7">
        <f>D7-D15*$D$11-D23*$D$19</f>
        <v>65550.289476219012</v>
      </c>
      <c r="G29" s="9"/>
      <c r="H29" s="10"/>
      <c r="I29" s="9"/>
      <c r="J29" s="9"/>
      <c r="K29" s="9"/>
      <c r="L29" s="9"/>
      <c r="M29" s="9"/>
      <c r="N29" s="9"/>
    </row>
    <row r="30" spans="1:15" s="4" customFormat="1" x14ac:dyDescent="0.2">
      <c r="A30" s="1"/>
      <c r="B30" s="1"/>
      <c r="C30" s="4" t="s">
        <v>48</v>
      </c>
      <c r="D30" s="11">
        <f>D28/$D$29</f>
        <v>6.7869475414200936E-2</v>
      </c>
      <c r="E30" s="11">
        <f t="shared" ref="E30:N30" si="2">E28/$D$29</f>
        <v>7.0584254430768961E-2</v>
      </c>
      <c r="F30" s="11">
        <f t="shared" si="2"/>
        <v>7.3407624607999725E-2</v>
      </c>
      <c r="G30" s="11">
        <f t="shared" si="2"/>
        <v>7.6343929592319712E-2</v>
      </c>
      <c r="H30" s="11">
        <f t="shared" si="2"/>
        <v>7.9397686776012499E-2</v>
      </c>
      <c r="I30" s="11">
        <f t="shared" si="2"/>
        <v>8.2573594247053003E-2</v>
      </c>
      <c r="J30" s="11">
        <f t="shared" si="2"/>
        <v>8.5876538016935122E-2</v>
      </c>
      <c r="K30" s="11">
        <f t="shared" si="2"/>
        <v>8.9311599537612529E-2</v>
      </c>
      <c r="L30" s="11">
        <f t="shared" si="2"/>
        <v>9.2884063519117044E-2</v>
      </c>
      <c r="M30" s="11">
        <f t="shared" si="2"/>
        <v>9.6599426059881727E-2</v>
      </c>
      <c r="N30" s="11">
        <f t="shared" si="2"/>
        <v>0.100463403102277</v>
      </c>
    </row>
    <row r="31" spans="1:15" x14ac:dyDescent="0.2">
      <c r="D31" s="12">
        <f>1/D30</f>
        <v>14.734164274839246</v>
      </c>
      <c r="E31" s="12">
        <f t="shared" ref="E31:N31" si="3">1/E30</f>
        <v>14.167465648883894</v>
      </c>
      <c r="F31" s="12">
        <f t="shared" si="3"/>
        <v>13.62256312392682</v>
      </c>
      <c r="G31" s="12">
        <f t="shared" si="3"/>
        <v>13.098618388391174</v>
      </c>
      <c r="H31" s="12">
        <f t="shared" si="3"/>
        <v>12.594825373453052</v>
      </c>
      <c r="I31" s="12">
        <f t="shared" si="3"/>
        <v>12.110409012935625</v>
      </c>
      <c r="J31" s="12">
        <f t="shared" si="3"/>
        <v>11.64462405089964</v>
      </c>
      <c r="K31" s="12">
        <f t="shared" si="3"/>
        <v>11.196753895095807</v>
      </c>
      <c r="L31" s="12">
        <f t="shared" si="3"/>
        <v>10.766109514515199</v>
      </c>
      <c r="M31" s="12">
        <f t="shared" si="3"/>
        <v>10.352028379341537</v>
      </c>
      <c r="N31" s="12">
        <f t="shared" si="3"/>
        <v>9.9538734416745545</v>
      </c>
    </row>
    <row r="32" spans="1:15" x14ac:dyDescent="0.2">
      <c r="E32" s="12">
        <f>D29/E28</f>
        <v>14.167465648883892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Valuation</vt:lpstr>
      <vt:lpstr>Valuation final</vt:lpstr>
      <vt:lpstr>only FCF</vt:lpstr>
    </vt:vector>
  </TitlesOfParts>
  <Company>PricewaterhouseCoopers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Vinny Nguyen</dc:creator>
  <cp:lastModifiedBy>Vinny Nguyen</cp:lastModifiedBy>
  <dcterms:created xsi:type="dcterms:W3CDTF">2015-11-18T11:08:58Z</dcterms:created>
  <dcterms:modified xsi:type="dcterms:W3CDTF">2018-04-03T19:26:37Z</dcterms:modified>
</cp:coreProperties>
</file>